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5.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6.xml" ContentType="application/vnd.openxmlformats-officedocument.drawing+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5" yWindow="-15" windowWidth="15480" windowHeight="11640" tabRatio="803"/>
  </bookViews>
  <sheets>
    <sheet name="Introduction" sheetId="20" r:id="rId1"/>
    <sheet name="Volume Calculator" sheetId="1" r:id="rId2"/>
    <sheet name="Porous Pavement" sheetId="9" r:id="rId3"/>
    <sheet name="Tree Planting" sheetId="18" r:id="rId4"/>
    <sheet name="Downspout Disconnection" sheetId="3" r:id="rId5"/>
    <sheet name="Impervious Area Disconnection" sheetId="5" r:id="rId6"/>
    <sheet name="GreenRoofs" sheetId="16" r:id="rId7"/>
    <sheet name="Stream Buffer" sheetId="2" r:id="rId8"/>
    <sheet name="Vegetated Swale" sheetId="6" r:id="rId9"/>
    <sheet name="Rain Barrels &amp; Cisterns" sheetId="19" r:id="rId10"/>
    <sheet name="Soil Quality" sheetId="8" r:id="rId11"/>
    <sheet name="No Edit" sheetId="14" r:id="rId12"/>
    <sheet name="Sheet1" sheetId="17" r:id="rId13"/>
  </sheets>
  <externalReferences>
    <externalReference r:id="rId14"/>
  </externalReferences>
  <definedNames>
    <definedName name="_xlnm._FilterDatabase" localSheetId="11" hidden="1">'No Edit'!#REF!</definedName>
    <definedName name="ALAMEDA">'No Edit'!$M$3:$M$6</definedName>
    <definedName name="ALPINE">'No Edit'!$M$7</definedName>
    <definedName name="AMADOR">'No Edit'!$M$8:$M$9</definedName>
    <definedName name="BUTTE">'No Edit'!$M$10:$M$13</definedName>
    <definedName name="CALAVERAS">'No Edit'!$M$14:$M$15</definedName>
    <definedName name="COLUSA">'No Edit'!$M$16</definedName>
    <definedName name="CONTRA_COSTA">'No Edit'!$M$17:$M$19</definedName>
    <definedName name="Counties">'No Edit'!$L$3:$L$239</definedName>
    <definedName name="COUNTY">'No Edit'!$L$2</definedName>
    <definedName name="County_List2">[1]Sheet2!$T$2:$T$60</definedName>
    <definedName name="COUNTYCOL">'No Edit'!$L$2:$L$239</definedName>
    <definedName name="CountyColumn">'No Edit'!$L:$L</definedName>
    <definedName name="CountyRainList">'No Edit'!$A$27:$A$85</definedName>
    <definedName name="DEL_NORTE">'No Edit'!$M$20:$M$21</definedName>
    <definedName name="EL_DIRADI">'No Edit'!$M$22:$M$26</definedName>
    <definedName name="FRESNO">'No Edit'!$M$27:$M$31</definedName>
    <definedName name="GLENN">'No Edit'!$M$32</definedName>
    <definedName name="HUMBOLDT">'No Edit'!$M$33:$M$36</definedName>
    <definedName name="IMPERIAL">'No Edit'!$M$37</definedName>
    <definedName name="INYO">'No Edit'!$M$38:$M$39</definedName>
    <definedName name="KERN">'No Edit'!$M$40:$M$47</definedName>
    <definedName name="KINGS">'No Edit'!$M$48</definedName>
    <definedName name="LAKE">'No Edit'!$M$49:$M$50</definedName>
    <definedName name="LAND">'No Edit'!$A$3:$A$17</definedName>
    <definedName name="Land_list">'No Edit'!$A$3:$A$17</definedName>
    <definedName name="LandU">'No Edit'!$A$2:$A$17</definedName>
    <definedName name="LandU2">'No Edit'!$A$2:$A$22</definedName>
    <definedName name="LandU2a">'No Edit'!$A$89:$A$105</definedName>
    <definedName name="LandU3">'No Edit'!$A$89:$E$105</definedName>
    <definedName name="LASSEN">'No Edit'!$M$51:$M$54</definedName>
    <definedName name="LOCATIONCOL">'No Edit'!$M$2:$M$239</definedName>
    <definedName name="Locations">'No Edit'!$M$3:$M$239</definedName>
    <definedName name="LOS_ANGELES">'No Edit'!$M$55:$M$76</definedName>
    <definedName name="MADERA">'No Edit'!$M$77</definedName>
    <definedName name="MARIN">'No Edit'!$M$78:$M$79</definedName>
    <definedName name="MARIPOSA">'No Edit'!$M$80:$M$82</definedName>
    <definedName name="MENDOCINO">'No Edit'!$M$83:$M$91</definedName>
    <definedName name="MERCED">'No Edit'!$M$92:$M$93</definedName>
    <definedName name="MODOC">'No Edit'!$M$94:$M$95</definedName>
    <definedName name="MONO">'No Edit'!$M$96:$M$97</definedName>
    <definedName name="MONTEREY">'No Edit'!$M$98:$M$103</definedName>
    <definedName name="NAPA">'No Edit'!$M$104:$M$106</definedName>
    <definedName name="NEVADA">'No Edit'!$M$107:$M$111</definedName>
    <definedName name="ORANGE">'No Edit'!$M$112:$M$121</definedName>
    <definedName name="PLACER">'No Edit'!$M$122:$M$124</definedName>
    <definedName name="PLUMAS">'No Edit'!$M$125:$M$127</definedName>
    <definedName name="Rain">'No Edit'!$N:$N</definedName>
    <definedName name="Rain85">'No Edit'!$N$2:$N$239</definedName>
    <definedName name="RainValues">'No Edit'!$A$27:$C$85</definedName>
    <definedName name="RegionList">'No Edit'!$L$3:$N$239</definedName>
    <definedName name="RIVERSIDE">'No Edit'!$M$128:$M$136</definedName>
    <definedName name="SACRAMENTO">'No Edit'!$M$137:$M$138</definedName>
    <definedName name="SAN_BENITO">'No Edit'!$M$139:$M$144</definedName>
    <definedName name="SAN_BERNARDINO">'No Edit'!$M$145:$M$161</definedName>
    <definedName name="SAN_DIEGO">'No Edit'!$M$162:$M$173</definedName>
    <definedName name="SAN_FRANCISCO">'No Edit'!$M$174:$M$175</definedName>
    <definedName name="SAN_JOAQUIN">'No Edit'!$M$176:$M$178</definedName>
    <definedName name="SAN_LUIS_OBISPO">'No Edit'!$M$179:$M$181</definedName>
    <definedName name="SAN_MATEO">'No Edit'!$M$182</definedName>
    <definedName name="SANTA_BARBARA">'No Edit'!$M$183:$M$190</definedName>
    <definedName name="SANTA_CLARA">'No Edit'!$M$191:$M$193</definedName>
    <definedName name="SANTA_CRUZ">'No Edit'!$M$194:$M$196</definedName>
    <definedName name="SHASTA">'No Edit'!$M$197:$M$200</definedName>
    <definedName name="SIERRA">'No Edit'!$M$201:$M$202</definedName>
    <definedName name="SISKIYOU">'No Edit'!$M$203:$M$207</definedName>
    <definedName name="Soil_Type">'No Edit'!$G$2:$G$5</definedName>
    <definedName name="Soil2">'Soil Quality'!$M$14:$M$20</definedName>
    <definedName name="Soil3">'Soil Quality'!$M$13:$M$20</definedName>
    <definedName name="Soils">'No Edit'!$G$1:$G$5</definedName>
    <definedName name="SOLANO">'No Edit'!$M$208</definedName>
    <definedName name="SONOMA">'No Edit'!$M$209:$M$212</definedName>
    <definedName name="STANISLAUS">'No Edit'!$M$213</definedName>
    <definedName name="SUTTER">'No Edit'!$M$214</definedName>
    <definedName name="TEHAMA">'No Edit'!$M$215:$M$217</definedName>
    <definedName name="TRINTY">'No Edit'!$M$218:$M$220</definedName>
    <definedName name="TULARE">'No Edit'!$M$221:$M$230</definedName>
    <definedName name="TUOLUMNE">'No Edit'!$M$231:$M$233</definedName>
    <definedName name="VENTURA">'No Edit'!$M$234:$M$236</definedName>
    <definedName name="VLOOKUPTABLE2">[1]Sheet2!$A$3:$C$240</definedName>
    <definedName name="YOLO">'No Edit'!$M$237</definedName>
    <definedName name="YUBA">'No Edit'!$M$238:$M$239</definedName>
  </definedNames>
  <calcPr calcId="145621" fullPrecision="0"/>
</workbook>
</file>

<file path=xl/calcChain.xml><?xml version="1.0" encoding="utf-8"?>
<calcChain xmlns="http://schemas.openxmlformats.org/spreadsheetml/2006/main">
  <c r="V6" i="1" l="1"/>
  <c r="V17" i="1"/>
  <c r="P4" i="1"/>
  <c r="K12" i="1"/>
  <c r="K16" i="1"/>
  <c r="G15" i="8"/>
  <c r="E6" i="19"/>
  <c r="H34" i="1" s="1"/>
  <c r="M10" i="8"/>
  <c r="M9" i="8"/>
  <c r="H15" i="8" s="1"/>
  <c r="H35" i="1"/>
  <c r="J35" i="1" s="1"/>
  <c r="J16" i="8"/>
  <c r="H6" i="9"/>
  <c r="H7" i="9"/>
  <c r="J16" i="9" s="1"/>
  <c r="H8" i="9"/>
  <c r="H9" i="9"/>
  <c r="H10" i="9"/>
  <c r="H11" i="9"/>
  <c r="H12" i="9"/>
  <c r="H18" i="9" s="1"/>
  <c r="H13" i="9"/>
  <c r="H14" i="9"/>
  <c r="H15" i="9"/>
  <c r="H16" i="9"/>
  <c r="H17" i="9"/>
  <c r="G18" i="9"/>
  <c r="S16" i="1"/>
  <c r="K17" i="1"/>
  <c r="A10" i="6" s="1"/>
  <c r="K18" i="1"/>
  <c r="P3" i="1"/>
  <c r="D14" i="1" s="1"/>
  <c r="D15" i="1" s="1"/>
  <c r="D16" i="1" s="1"/>
  <c r="K19" i="1"/>
  <c r="O19" i="1" s="1"/>
  <c r="K20" i="1"/>
  <c r="I10" i="6"/>
  <c r="K14" i="3"/>
  <c r="H25" i="1"/>
  <c r="K25" i="1" s="1"/>
  <c r="I11" i="5"/>
  <c r="I9" i="5"/>
  <c r="H26" i="1"/>
  <c r="I10" i="16"/>
  <c r="H27" i="1" s="1"/>
  <c r="K27" i="1" s="1"/>
  <c r="I11" i="2"/>
  <c r="H28" i="1" s="1"/>
  <c r="K28" i="1" s="1"/>
  <c r="J9" i="6"/>
  <c r="H29" i="1" s="1"/>
  <c r="K29" i="1" s="1"/>
  <c r="G6" i="18"/>
  <c r="G7" i="18"/>
  <c r="J10" i="18" s="1"/>
  <c r="H24" i="1" s="1"/>
  <c r="K24" i="1" s="1"/>
  <c r="G9" i="18"/>
  <c r="G10" i="18"/>
  <c r="K26" i="1"/>
  <c r="A11" i="6"/>
  <c r="A10" i="16"/>
  <c r="I10" i="5"/>
  <c r="A11" i="3"/>
  <c r="I6" i="9"/>
  <c r="I7" i="9"/>
  <c r="I18" i="9" s="1"/>
  <c r="I8" i="9"/>
  <c r="I9" i="9"/>
  <c r="I10" i="9"/>
  <c r="I11" i="9"/>
  <c r="I12" i="9"/>
  <c r="I13" i="9"/>
  <c r="I14" i="9"/>
  <c r="I15" i="9"/>
  <c r="I16" i="9"/>
  <c r="I17" i="9"/>
  <c r="J11" i="5"/>
  <c r="J6" i="1"/>
  <c r="K11" i="1"/>
  <c r="H13" i="1"/>
  <c r="E12" i="9"/>
  <c r="F37" i="1"/>
  <c r="J10" i="5"/>
  <c r="H11" i="5"/>
  <c r="L11" i="3"/>
  <c r="L12" i="3"/>
  <c r="J11" i="2"/>
  <c r="J12" i="2"/>
  <c r="K10" i="6"/>
  <c r="K11" i="6"/>
  <c r="A11" i="5"/>
  <c r="A11" i="2"/>
  <c r="A10" i="5"/>
  <c r="V7" i="1"/>
  <c r="V16" i="1"/>
  <c r="V18" i="1"/>
  <c r="F12" i="1"/>
  <c r="D49" i="1"/>
  <c r="F11" i="1"/>
  <c r="R7" i="1" s="1"/>
  <c r="R16" i="1" s="1"/>
  <c r="R17" i="1" s="1"/>
  <c r="F49" i="1"/>
  <c r="D26" i="1"/>
  <c r="R26" i="1"/>
  <c r="R18" i="1" l="1"/>
  <c r="T18" i="1" s="1"/>
  <c r="D25" i="1" s="1"/>
  <c r="T17" i="1"/>
  <c r="Y23" i="1"/>
  <c r="H23" i="1"/>
  <c r="F52" i="1"/>
  <c r="H31" i="1"/>
  <c r="H36" i="1"/>
  <c r="J34" i="1"/>
  <c r="O20" i="1"/>
  <c r="Y22" i="1"/>
  <c r="J55" i="9"/>
  <c r="J12" i="3"/>
  <c r="A11" i="16"/>
  <c r="D50" i="1"/>
  <c r="D51" i="1" s="1"/>
  <c r="D52" i="1" s="1"/>
  <c r="I11" i="6"/>
  <c r="A12" i="2"/>
  <c r="A12" i="3"/>
  <c r="H10" i="16"/>
  <c r="H12" i="2"/>
  <c r="H11" i="16"/>
  <c r="J11" i="3"/>
  <c r="F50" i="1"/>
  <c r="F51" i="1" s="1"/>
  <c r="F53" i="1" l="1"/>
  <c r="H37" i="1"/>
  <c r="J36" i="1"/>
  <c r="K23" i="1"/>
  <c r="H30" i="1"/>
  <c r="K30" i="1" s="1"/>
  <c r="D29" i="1" l="1"/>
  <c r="J37" i="1"/>
  <c r="H11" i="2"/>
  <c r="C32" i="1" l="1"/>
  <c r="D40" i="1"/>
</calcChain>
</file>

<file path=xl/sharedStrings.xml><?xml version="1.0" encoding="utf-8"?>
<sst xmlns="http://schemas.openxmlformats.org/spreadsheetml/2006/main" count="837" uniqueCount="546">
  <si>
    <r>
      <t>If you answered yes to the question above, and you know the area-weighted bulk density within the top 12 inches for soils used for landscaping (in g/cm</t>
    </r>
    <r>
      <rPr>
        <vertAlign val="superscript"/>
        <sz val="8"/>
        <rFont val="Arial"/>
        <family val="2"/>
      </rPr>
      <t>3</t>
    </r>
    <r>
      <rPr>
        <sz val="8"/>
        <rFont val="Arial"/>
        <family val="2"/>
      </rPr>
      <t>)* , fill in the cell to the right and skip to cell G11. If not select from the drop-down menu in G10.</t>
    </r>
  </si>
  <si>
    <r>
      <t xml:space="preserve">Volume </t>
    </r>
    <r>
      <rPr>
        <vertAlign val="subscript"/>
        <sz val="12"/>
        <rFont val="Arial"/>
        <family val="2"/>
      </rPr>
      <t>design storm</t>
    </r>
    <r>
      <rPr>
        <sz val="12"/>
        <rFont val="Arial"/>
        <family val="2"/>
      </rPr>
      <t xml:space="preserve"> (in)</t>
    </r>
  </si>
  <si>
    <r>
      <t xml:space="preserve">Volume </t>
    </r>
    <r>
      <rPr>
        <vertAlign val="subscript"/>
        <sz val="12"/>
        <rFont val="Arial"/>
        <family val="2"/>
      </rPr>
      <t>design storm</t>
    </r>
    <r>
      <rPr>
        <sz val="12"/>
        <rFont val="Arial"/>
        <family val="2"/>
      </rPr>
      <t xml:space="preserve"> (cu ft)</t>
    </r>
  </si>
  <si>
    <t>RCN</t>
  </si>
  <si>
    <t xml:space="preserve">existing </t>
  </si>
  <si>
    <t>pervious Pavement Actual</t>
  </si>
  <si>
    <t>Pervious Pavement Equilivant</t>
  </si>
  <si>
    <t>The Amount of rainfall needed for runoff to occur (Existing runoff curve number -P from existing RCN (in)^)</t>
  </si>
  <si>
    <t>Square feet under an existing tree canopy, that will remain on the property, with an average diameter at 4.5 ft above grade (i.e., diameter at breast height or DBH) is LESS than 12 in diameter.</t>
    <phoneticPr fontId="0" type="noConversion"/>
  </si>
  <si>
    <t>Average capacity of rain barrel(s)/cistern(s) (in gallons)</t>
    <phoneticPr fontId="0" type="noConversion"/>
  </si>
  <si>
    <t xml:space="preserve">Total number of rain barrel(s)/cisterns </t>
    <phoneticPr fontId="0" type="noConversion"/>
  </si>
  <si>
    <t xml:space="preserve">Square feet Under  Canopy </t>
    <phoneticPr fontId="0" type="noConversion"/>
  </si>
  <si>
    <r>
      <t>(Step 1b)</t>
    </r>
    <r>
      <rPr>
        <sz val="12"/>
        <color indexed="14"/>
        <rFont val="Arial"/>
      </rPr>
      <t xml:space="preserve"> </t>
    </r>
    <r>
      <rPr>
        <sz val="12"/>
        <rFont val="Arial"/>
        <family val="2"/>
      </rPr>
      <t xml:space="preserve">If you can not answer 1a then select the county where the project is located (click on the cell to the right for drop-down):    This will determine the average 85th percentile 24 hr. storm event for your site, which will appear under precipitation to left.                     </t>
    </r>
  </si>
  <si>
    <r>
      <t>(Step 1c)</t>
    </r>
    <r>
      <rPr>
        <sz val="12"/>
        <rFont val="Arial"/>
        <family val="2"/>
      </rPr>
      <t xml:space="preserve"> If you would like a more percise value select the location closest to your site. If you do not recgonize any of these locations, leave this drop-down menu at location. The average value for the County will be used. </t>
    </r>
  </si>
  <si>
    <r>
      <t xml:space="preserve">(Step 2) </t>
    </r>
    <r>
      <rPr>
        <sz val="12"/>
        <rFont val="Arial"/>
        <family val="2"/>
      </rPr>
      <t>Indicate the Soil Type (dropdown menu to right):</t>
    </r>
  </si>
  <si>
    <r>
      <t>(Step 3)</t>
    </r>
    <r>
      <rPr>
        <sz val="12"/>
        <rFont val="Arial"/>
        <family val="2"/>
      </rPr>
      <t xml:space="preserve"> Indicate the existing </t>
    </r>
    <r>
      <rPr>
        <b/>
        <sz val="12"/>
        <rFont val="Arial"/>
        <family val="2"/>
      </rPr>
      <t>dominant</t>
    </r>
    <r>
      <rPr>
        <sz val="12"/>
        <rFont val="Arial"/>
        <family val="2"/>
      </rPr>
      <t xml:space="preserve"> non-built land Use Type (dropdown menu to right):</t>
    </r>
  </si>
  <si>
    <r>
      <t xml:space="preserve">(Step 4) </t>
    </r>
    <r>
      <rPr>
        <sz val="12"/>
        <rFont val="Arial"/>
        <family val="2"/>
      </rPr>
      <t xml:space="preserve">Indicate the proposed </t>
    </r>
    <r>
      <rPr>
        <b/>
        <sz val="12"/>
        <rFont val="Arial"/>
        <family val="2"/>
      </rPr>
      <t>dominant</t>
    </r>
    <r>
      <rPr>
        <sz val="12"/>
        <rFont val="Arial"/>
        <family val="2"/>
      </rPr>
      <t xml:space="preserve"> non-built land Use Type (dropdown menu to right):</t>
    </r>
  </si>
  <si>
    <r>
      <t xml:space="preserve">(Step 5) </t>
    </r>
    <r>
      <rPr>
        <i/>
        <sz val="12"/>
        <rFont val="Arial"/>
        <family val="2"/>
      </rPr>
      <t>Total Project Site Area:</t>
    </r>
  </si>
  <si>
    <r>
      <t>(Step 6)</t>
    </r>
    <r>
      <rPr>
        <i/>
        <sz val="12"/>
        <rFont val="Arial"/>
        <family val="2"/>
      </rPr>
      <t xml:space="preserve"> Sub-watershed Area:</t>
    </r>
  </si>
  <si>
    <r>
      <t>(Step 1a)</t>
    </r>
    <r>
      <rPr>
        <sz val="12"/>
        <rFont val="Arial"/>
        <family val="2"/>
      </rPr>
      <t xml:space="preserve"> If you know the 85th percentile storm event for your location enter it in the box below</t>
    </r>
    <phoneticPr fontId="0" type="noConversion"/>
  </si>
  <si>
    <r>
      <t>1</t>
    </r>
    <r>
      <rPr>
        <sz val="10"/>
        <rFont val="Arial"/>
      </rPr>
      <t xml:space="preserve"> accounts for 10% loss</t>
    </r>
  </si>
  <si>
    <t>Waste Discharge Identification (WDID):</t>
  </si>
  <si>
    <t>LAKE</t>
  </si>
  <si>
    <t>LASSEN</t>
  </si>
  <si>
    <t>Please describe below how the project will ensure that these trees will be maintained.</t>
  </si>
  <si>
    <t>Existing Land Use Type</t>
  </si>
  <si>
    <t>Soil Type</t>
  </si>
  <si>
    <t>Runoff Curve Number</t>
  </si>
  <si>
    <t>In Acres</t>
  </si>
  <si>
    <t>Sub-watershed Area (acres)</t>
  </si>
  <si>
    <t>^Available at www.cabmphandbooks.com</t>
  </si>
  <si>
    <t>Impervious</t>
  </si>
  <si>
    <t xml:space="preserve">Vegetated Swale Credit Criteria </t>
  </si>
  <si>
    <t>Total</t>
  </si>
  <si>
    <t>Project Name:</t>
  </si>
  <si>
    <t>Date:</t>
  </si>
  <si>
    <t>SAN_MATEO</t>
  </si>
  <si>
    <t>SANTA_BARBARA</t>
  </si>
  <si>
    <t>Downspout Disconnection Credit Worksheet</t>
  </si>
  <si>
    <t>ORANGE</t>
  </si>
  <si>
    <t>PLACER</t>
  </si>
  <si>
    <t>Impervious Area Disconnection Credit Worksheet</t>
  </si>
  <si>
    <t>Porous Pavement</t>
  </si>
  <si>
    <t>http://www.globe.gov/sda/tg/pardensity.pdf</t>
  </si>
  <si>
    <t xml:space="preserve">Non-Rooftop Disconnection Credit Criteria </t>
  </si>
  <si>
    <t xml:space="preserve">Stream Buffer Credit Criteria </t>
  </si>
  <si>
    <t>Please fill out a porous pavement credit worksheet for each project sub-watershed.</t>
  </si>
  <si>
    <t>S</t>
  </si>
  <si>
    <t>Subtotal</t>
  </si>
  <si>
    <t>Response</t>
  </si>
  <si>
    <t>yes / no</t>
  </si>
  <si>
    <t>Tree Canopy Credit Criteria</t>
  </si>
  <si>
    <t>Tree Planting</t>
  </si>
  <si>
    <t>Return to Calculator</t>
  </si>
  <si>
    <t>Sq Ft</t>
  </si>
  <si>
    <t>Acres</t>
  </si>
  <si>
    <t>Complete Either</t>
  </si>
  <si>
    <t>SONOMA</t>
  </si>
  <si>
    <t>STANISLAUS</t>
  </si>
  <si>
    <t>TEHAMA</t>
  </si>
  <si>
    <t>TRINITY</t>
  </si>
  <si>
    <t>MONTEREY</t>
  </si>
  <si>
    <r>
      <t xml:space="preserve">(Step 8) </t>
    </r>
    <r>
      <rPr>
        <b/>
        <i/>
        <sz val="12"/>
        <rFont val="Arial"/>
        <family val="2"/>
      </rPr>
      <t>Impervious Area Reduction Credits</t>
    </r>
  </si>
  <si>
    <r>
      <t xml:space="preserve">Area of </t>
    </r>
    <r>
      <rPr>
        <b/>
        <sz val="12"/>
        <rFont val="Arial"/>
        <family val="2"/>
      </rPr>
      <t>Brick without Grout</t>
    </r>
    <r>
      <rPr>
        <sz val="12"/>
        <rFont val="Arial"/>
        <family val="2"/>
      </rPr>
      <t xml:space="preserve"> on </t>
    </r>
    <r>
      <rPr>
        <u/>
        <sz val="12"/>
        <rFont val="Arial"/>
        <family val="2"/>
      </rPr>
      <t>less than 12 inches</t>
    </r>
    <r>
      <rPr>
        <sz val="12"/>
        <rFont val="Arial"/>
        <family val="2"/>
      </rPr>
      <t xml:space="preserve"> of base with at least 20% void space over soil</t>
    </r>
  </si>
  <si>
    <r>
      <t>Area of</t>
    </r>
    <r>
      <rPr>
        <b/>
        <sz val="12"/>
        <rFont val="Arial"/>
        <family val="2"/>
      </rPr>
      <t xml:space="preserve"> Brick without Grout</t>
    </r>
    <r>
      <rPr>
        <sz val="12"/>
        <rFont val="Arial"/>
        <family val="2"/>
      </rPr>
      <t xml:space="preserve"> on </t>
    </r>
    <r>
      <rPr>
        <u/>
        <sz val="12"/>
        <rFont val="Arial"/>
        <family val="2"/>
      </rPr>
      <t>more than 12 inches</t>
    </r>
    <r>
      <rPr>
        <sz val="12"/>
        <rFont val="Arial"/>
        <family val="2"/>
      </rPr>
      <t xml:space="preserve"> of base with at least 20% void space over soil</t>
    </r>
  </si>
  <si>
    <t>Equivalent Acres</t>
  </si>
  <si>
    <t xml:space="preserve">Green Roof Credit Criteria </t>
  </si>
  <si>
    <t>Stream Buffer</t>
  </si>
  <si>
    <t>SAN_BERNARDINO</t>
  </si>
  <si>
    <t>SAN_DIEGO</t>
  </si>
  <si>
    <t>SANTA_CLARA</t>
  </si>
  <si>
    <t>SUTTER</t>
  </si>
  <si>
    <t>MENDOCINO</t>
  </si>
  <si>
    <t>MERCED</t>
  </si>
  <si>
    <t>Cu.Ft.</t>
  </si>
  <si>
    <t>G25</t>
  </si>
  <si>
    <t>Project-Related Runoff Volume Increase w/o credits (cu ft)</t>
  </si>
  <si>
    <t>Project-Related Volume Increase with Credits (cu ft)</t>
  </si>
  <si>
    <t>Percent  of total project :</t>
  </si>
  <si>
    <r>
      <t>Will the soils used for landscaping meet the ideal bulk densities listed in Table 1 below?</t>
    </r>
    <r>
      <rPr>
        <vertAlign val="superscript"/>
        <sz val="8"/>
        <rFont val="Arial"/>
        <family val="2"/>
      </rPr>
      <t>1</t>
    </r>
    <phoneticPr fontId="0" type="noConversion"/>
  </si>
  <si>
    <t>Calculated Acres</t>
    <phoneticPr fontId="0" type="noConversion"/>
  </si>
  <si>
    <t>COLUSA</t>
  </si>
  <si>
    <t>CONTRA_COSTA</t>
  </si>
  <si>
    <t>DEL_NORTE</t>
  </si>
  <si>
    <r>
      <t xml:space="preserve">Total capacity rain barrel(s)/cistern(s) (in cu ft) </t>
    </r>
    <r>
      <rPr>
        <vertAlign val="superscript"/>
        <sz val="12"/>
        <rFont val="Arial"/>
        <family val="2"/>
      </rPr>
      <t>1</t>
    </r>
    <r>
      <rPr>
        <sz val="12"/>
        <rFont val="Arial"/>
        <family val="2"/>
      </rPr>
      <t xml:space="preserve"> </t>
    </r>
  </si>
  <si>
    <t>Sandy clay loams, loams, clay loams</t>
  </si>
  <si>
    <t>Silts, silt loams</t>
  </si>
  <si>
    <t>Silt loams, silty clay loams</t>
  </si>
  <si>
    <t>Clays (&gt;45% clay)</t>
  </si>
  <si>
    <t>Sands, loamy sands</t>
  </si>
  <si>
    <t>Sub Drainage Area Name (from map):</t>
  </si>
  <si>
    <t xml:space="preserve">Proposed  Porous Pavement </t>
  </si>
  <si>
    <t>Square Feet</t>
  </si>
  <si>
    <t>Stream Buffer Credit Worksheet</t>
  </si>
  <si>
    <t>In SqFt.</t>
  </si>
  <si>
    <t>Fill in either Acres or SqFt</t>
  </si>
  <si>
    <t>Number of Trees Planted</t>
  </si>
  <si>
    <t>KERN</t>
  </si>
  <si>
    <t>KINGS</t>
  </si>
  <si>
    <t>**Using Site Design Techniques to meet Development Standards for Stormwater Quality (BASMAA 2003)</t>
  </si>
  <si>
    <t xml:space="preserve">Downspout Disconnection Credit Criteria </t>
  </si>
  <si>
    <t>Group A Soils</t>
  </si>
  <si>
    <t>Group B Soils</t>
  </si>
  <si>
    <t>Group C Soils</t>
  </si>
  <si>
    <t>Group D Soils</t>
  </si>
  <si>
    <t>Impervious Area Disconnection</t>
  </si>
  <si>
    <t>Vegetated Swales</t>
  </si>
  <si>
    <t>Rain Barrels/Cisterns</t>
  </si>
  <si>
    <t>MODOC</t>
  </si>
  <si>
    <t>MONO</t>
  </si>
  <si>
    <t xml:space="preserve">Rain Barrel/Cistern Credit Criteria </t>
  </si>
  <si>
    <t>NAPA</t>
  </si>
  <si>
    <t>NEVADA</t>
  </si>
  <si>
    <t>MARIPOSA</t>
  </si>
  <si>
    <t>Modified from: Chow, V. T, D. R. Maidment, and L. W. Mays.  1988.  Applied Hydrology.   McGraw-Hill, Inc.</t>
  </si>
  <si>
    <t xml:space="preserve">* To determine how to calculate density see: </t>
  </si>
  <si>
    <t>Sandy loams, loams</t>
  </si>
  <si>
    <t>&lt;1.6</t>
  </si>
  <si>
    <t>&lt;1.4</t>
  </si>
  <si>
    <t>&lt;1.3</t>
  </si>
  <si>
    <t>&lt;1.1</t>
  </si>
  <si>
    <t>Table 1</t>
  </si>
  <si>
    <t>Vegetated Swale Credit Worksheet</t>
  </si>
  <si>
    <t>EL_DORADO</t>
  </si>
  <si>
    <t>SANTA_CRUZ</t>
  </si>
  <si>
    <t>P used for calculations (in) (the greater of the above two criteria)</t>
  </si>
  <si>
    <t>SAN_LUIS_OBISPO</t>
  </si>
  <si>
    <t xml:space="preserve">User may make changes from any cell that is orange or brown in color  (similar to the cells to the immediate right). Cells in green are calculated for you.  </t>
  </si>
  <si>
    <t>for existing land use</t>
  </si>
  <si>
    <t>Please fill out a soil quality worksheet for each project sub-watershed.</t>
  </si>
  <si>
    <t>Sandy clays, silty clays, some clay loams (35-45% clay)</t>
  </si>
  <si>
    <t>COUNTY</t>
  </si>
  <si>
    <t>Please fill out a rain barrel/cistern  worksheet for each project sub-watershed.</t>
  </si>
  <si>
    <t>Volume (cubic feet)</t>
  </si>
  <si>
    <t>Porous Pavement Credit Worksheet</t>
  </si>
  <si>
    <t>TULARE</t>
  </si>
  <si>
    <t>TUOLUMNE</t>
  </si>
  <si>
    <t>VENTURA</t>
  </si>
  <si>
    <t>YOLO</t>
  </si>
  <si>
    <t>YUBA</t>
  </si>
  <si>
    <t>ALAMEDA</t>
  </si>
  <si>
    <t>ALPINE</t>
  </si>
  <si>
    <t>AMADOR</t>
  </si>
  <si>
    <t>BUTTE</t>
  </si>
  <si>
    <t>HUMBOLDT</t>
  </si>
  <si>
    <t>Rain Barrel/Cistern Credit Worksheet</t>
  </si>
  <si>
    <r>
      <t xml:space="preserve">Area of </t>
    </r>
    <r>
      <rPr>
        <b/>
        <sz val="12"/>
        <rFont val="Arial"/>
        <family val="2"/>
      </rPr>
      <t xml:space="preserve">Poured Porous Concrete or Asphalt Pavement </t>
    </r>
    <r>
      <rPr>
        <sz val="12"/>
        <rFont val="Arial"/>
        <family val="2"/>
      </rPr>
      <t xml:space="preserve">with  </t>
    </r>
    <r>
      <rPr>
        <u/>
        <sz val="12"/>
        <rFont val="Arial"/>
        <family val="2"/>
      </rPr>
      <t>4 to 8 inches</t>
    </r>
    <r>
      <rPr>
        <sz val="12"/>
        <rFont val="Arial"/>
        <family val="2"/>
      </rPr>
      <t xml:space="preserve"> of gravel base (washed stone) </t>
    </r>
  </si>
  <si>
    <r>
      <t xml:space="preserve">Area of </t>
    </r>
    <r>
      <rPr>
        <b/>
        <sz val="12"/>
        <rFont val="Arial"/>
        <family val="2"/>
      </rPr>
      <t xml:space="preserve">Poured Porous Concrete or Asphalt Pavement </t>
    </r>
    <r>
      <rPr>
        <sz val="12"/>
        <rFont val="Arial"/>
        <family val="2"/>
      </rPr>
      <t xml:space="preserve">with </t>
    </r>
    <r>
      <rPr>
        <u/>
        <sz val="12"/>
        <rFont val="Arial"/>
        <family val="2"/>
      </rPr>
      <t xml:space="preserve"> 8 to 12 inches</t>
    </r>
    <r>
      <rPr>
        <sz val="12"/>
        <rFont val="Arial"/>
        <family val="2"/>
      </rPr>
      <t xml:space="preserve"> of gravel base (washed stone) </t>
    </r>
  </si>
  <si>
    <r>
      <t xml:space="preserve">Area of </t>
    </r>
    <r>
      <rPr>
        <b/>
        <sz val="12"/>
        <rFont val="Arial"/>
        <family val="2"/>
      </rPr>
      <t xml:space="preserve">Poured Porous Concrete or Asphalt Pavement </t>
    </r>
    <r>
      <rPr>
        <sz val="12"/>
        <rFont val="Arial"/>
        <family val="2"/>
      </rPr>
      <t xml:space="preserve">with  </t>
    </r>
    <r>
      <rPr>
        <u/>
        <sz val="12"/>
        <rFont val="Arial"/>
        <family val="2"/>
      </rPr>
      <t xml:space="preserve">12 or more </t>
    </r>
    <r>
      <rPr>
        <sz val="12"/>
        <rFont val="Arial"/>
        <family val="2"/>
      </rPr>
      <t xml:space="preserve"> inches of gravel base (washed stone) </t>
    </r>
  </si>
  <si>
    <t>For the PROPOSED Development:</t>
  </si>
  <si>
    <t>Runoff Reduction*</t>
  </si>
  <si>
    <t>*=1-Rv**</t>
  </si>
  <si>
    <r>
      <t xml:space="preserve">Area of </t>
    </r>
    <r>
      <rPr>
        <b/>
        <sz val="12"/>
        <rFont val="Arial"/>
        <family val="2"/>
      </rPr>
      <t>Reinforced Grass Pavement</t>
    </r>
    <r>
      <rPr>
        <sz val="12"/>
        <rFont val="Arial"/>
        <family val="2"/>
      </rPr>
      <t xml:space="preserve"> on </t>
    </r>
    <r>
      <rPr>
        <u/>
        <sz val="12"/>
        <rFont val="Arial"/>
        <family val="2"/>
      </rPr>
      <t>less than 12 inches</t>
    </r>
    <r>
      <rPr>
        <sz val="12"/>
        <rFont val="Arial"/>
        <family val="2"/>
      </rPr>
      <t xml:space="preserve"> of base with at least 20% void space over soil</t>
    </r>
  </si>
  <si>
    <t>LOS_ANGELES</t>
  </si>
  <si>
    <t>INYO</t>
  </si>
  <si>
    <t>Downspout Disconnection</t>
  </si>
  <si>
    <t>PLUMAS</t>
  </si>
  <si>
    <t>RIVERSIDE</t>
  </si>
  <si>
    <t>SACRAMENTO</t>
  </si>
  <si>
    <t>SAN_BENITO</t>
  </si>
  <si>
    <t>MOJAVE</t>
  </si>
  <si>
    <t>TAFT</t>
  </si>
  <si>
    <t>TEHACHAPI AIRPORT</t>
  </si>
  <si>
    <t>WELDON 1 WSW</t>
  </si>
  <si>
    <t>CORCORAN IRRIG DIST</t>
  </si>
  <si>
    <t>DIAMOND BAR</t>
  </si>
  <si>
    <t>SAN FERNANDO PH 3</t>
  </si>
  <si>
    <t>SAN GABRIEL DAM FC425B</t>
  </si>
  <si>
    <t>SANDBERG</t>
  </si>
  <si>
    <t>SANTA FE DAM</t>
  </si>
  <si>
    <t>Please fill out a tree canopy credit worksheet for each project sub-watershed.</t>
  </si>
  <si>
    <t>SIERRA</t>
  </si>
  <si>
    <t>SISKIYOU</t>
  </si>
  <si>
    <t>SOLANO</t>
  </si>
  <si>
    <t>MADERA</t>
  </si>
  <si>
    <t>MARIN</t>
  </si>
  <si>
    <t>Pre-Project Runoff Volume (cu ft)</t>
  </si>
  <si>
    <t>Tree Planting Credit Worksheet</t>
  </si>
  <si>
    <t>Area Credit (acres)</t>
  </si>
  <si>
    <t>Runoff Calculations</t>
  </si>
  <si>
    <r>
      <t xml:space="preserve">Area of </t>
    </r>
    <r>
      <rPr>
        <b/>
        <sz val="12"/>
        <rFont val="Arial"/>
        <family val="2"/>
      </rPr>
      <t>Porous Gravel Pavement</t>
    </r>
    <r>
      <rPr>
        <sz val="12"/>
        <rFont val="Arial"/>
        <family val="2"/>
      </rPr>
      <t xml:space="preserve"> on </t>
    </r>
    <r>
      <rPr>
        <u/>
        <sz val="12"/>
        <rFont val="Arial"/>
        <family val="2"/>
      </rPr>
      <t>less than 12 inches</t>
    </r>
    <r>
      <rPr>
        <sz val="12"/>
        <rFont val="Arial"/>
        <family val="2"/>
      </rPr>
      <t xml:space="preserve"> of base with at least 20% void space over soil</t>
    </r>
  </si>
  <si>
    <r>
      <t xml:space="preserve">Area of </t>
    </r>
    <r>
      <rPr>
        <b/>
        <sz val="12"/>
        <rFont val="Arial"/>
        <family val="2"/>
      </rPr>
      <t>Porous Gravel Pavement</t>
    </r>
    <r>
      <rPr>
        <sz val="12"/>
        <rFont val="Arial"/>
        <family val="2"/>
      </rPr>
      <t xml:space="preserve"> on </t>
    </r>
    <r>
      <rPr>
        <u/>
        <sz val="12"/>
        <rFont val="Arial"/>
        <family val="2"/>
      </rPr>
      <t>at least 12 inches</t>
    </r>
    <r>
      <rPr>
        <sz val="12"/>
        <rFont val="Arial"/>
        <family val="2"/>
      </rPr>
      <t xml:space="preserve"> of base with at least 20% void space over soil</t>
    </r>
  </si>
  <si>
    <t>Optional</t>
  </si>
  <si>
    <r>
      <t xml:space="preserve">Area of </t>
    </r>
    <r>
      <rPr>
        <b/>
        <sz val="12"/>
        <rFont val="Arial"/>
        <family val="2"/>
      </rPr>
      <t>Cobbles</t>
    </r>
    <r>
      <rPr>
        <sz val="12"/>
        <rFont val="Arial"/>
        <family val="2"/>
      </rPr>
      <t xml:space="preserve"> </t>
    </r>
    <r>
      <rPr>
        <u/>
        <sz val="12"/>
        <rFont val="Arial"/>
        <family val="2"/>
      </rPr>
      <t>less than 12 inches</t>
    </r>
    <r>
      <rPr>
        <sz val="12"/>
        <rFont val="Arial"/>
        <family val="2"/>
      </rPr>
      <t xml:space="preserve"> deep and over soil</t>
    </r>
  </si>
  <si>
    <t>SAN_FRANCISCO</t>
  </si>
  <si>
    <t>SAN_JOAQUIN</t>
  </si>
  <si>
    <t>NEEDLES</t>
  </si>
  <si>
    <t>PARKER RESERVOIR</t>
  </si>
  <si>
    <t>RUNNING SPRINGS 1 E</t>
  </si>
  <si>
    <t>SANTA ANA RIVER P H 3</t>
  </si>
  <si>
    <t>VICTORVILLE PUMP PLANT</t>
  </si>
  <si>
    <t>Based on the County you indicated above, we have included the 85 percentile average 24 hr event - P85 (in)^ for your area.</t>
  </si>
  <si>
    <t>In</t>
  </si>
  <si>
    <t>in</t>
  </si>
  <si>
    <t>for new land use</t>
  </si>
  <si>
    <t>EL CAPITAN DAM</t>
  </si>
  <si>
    <t>FALLBROOK</t>
  </si>
  <si>
    <t>HENSHAW DAM</t>
  </si>
  <si>
    <t>LAKE WOHLFORD</t>
  </si>
  <si>
    <r>
      <t>If you answered yes to the question above, but you do not know the exact bulk density, which of the soil types in the drop down menu to the right best describes the top 12 inches for soils used for landscaping (in g/cm</t>
    </r>
    <r>
      <rPr>
        <vertAlign val="superscript"/>
        <sz val="8"/>
        <rFont val="Arial"/>
        <family val="2"/>
      </rPr>
      <t>3</t>
    </r>
    <r>
      <rPr>
        <sz val="8"/>
        <rFont val="Arial"/>
        <family val="2"/>
      </rPr>
      <t>).</t>
    </r>
  </si>
  <si>
    <r>
      <t>1</t>
    </r>
    <r>
      <rPr>
        <sz val="8"/>
        <rFont val="Arial"/>
        <family val="2"/>
      </rPr>
      <t xml:space="preserve"> USDA NRCS. "Soil Quality Urban Technical Note No.2-Urban Soil Compaction". March 2000.</t>
    </r>
  </si>
  <si>
    <r>
      <t xml:space="preserve">Area of </t>
    </r>
    <r>
      <rPr>
        <b/>
        <sz val="12"/>
        <rFont val="Arial"/>
        <family val="2"/>
      </rPr>
      <t>Poured Porous Concrete or Asphalt Pavement</t>
    </r>
    <r>
      <rPr>
        <sz val="12"/>
        <rFont val="Arial"/>
        <family val="2"/>
      </rPr>
      <t xml:space="preserve"> with </t>
    </r>
    <r>
      <rPr>
        <u/>
        <sz val="12"/>
        <rFont val="Arial"/>
        <family val="2"/>
      </rPr>
      <t>less than 4 inches</t>
    </r>
    <r>
      <rPr>
        <sz val="12"/>
        <rFont val="Arial"/>
        <family val="2"/>
      </rPr>
      <t xml:space="preserve"> of gravel base (washed stone) </t>
    </r>
  </si>
  <si>
    <t>cu ft</t>
  </si>
  <si>
    <t>Green Roof</t>
  </si>
  <si>
    <t>CALAVERAS</t>
  </si>
  <si>
    <t xml:space="preserve">Description of Land Use  </t>
  </si>
  <si>
    <t>Hydrologic Soil Group</t>
  </si>
  <si>
    <t xml:space="preserve">A </t>
  </si>
  <si>
    <t xml:space="preserve">B </t>
  </si>
  <si>
    <t>HAYWARD 4 ESE</t>
  </si>
  <si>
    <t>OAKLAND WSO AP</t>
  </si>
  <si>
    <t>UPPER SAN LEANDRO FLTR</t>
  </si>
  <si>
    <t>MARKLEEVILLE</t>
  </si>
  <si>
    <t>FIDDLETOWN DEXTER RANCH</t>
  </si>
  <si>
    <t>TIGER CREEK PH</t>
  </si>
  <si>
    <t>BRUSH CREEK R S</t>
  </si>
  <si>
    <t>CHICO UNIVERSITY FARM</t>
  </si>
  <si>
    <t>OROVILLE R S</t>
  </si>
  <si>
    <t>STIRLING CITY R S</t>
  </si>
  <si>
    <t>CALAVERAS R S</t>
  </si>
  <si>
    <t>CAMP PARDEE</t>
  </si>
  <si>
    <t>WILLIAMS</t>
  </si>
  <si>
    <t>BRENTWOOD 6 SW</t>
  </si>
  <si>
    <t>MARTINEZ 2 S</t>
  </si>
  <si>
    <t>WALNUT CREEK 2 ENE</t>
  </si>
  <si>
    <t>CRESCENT CITY MNTC STN</t>
  </si>
  <si>
    <t>KLAMATH</t>
  </si>
  <si>
    <t>BLODGETT EXP FOREST</t>
  </si>
  <si>
    <t>GEORGETOWN R S</t>
  </si>
  <si>
    <t>KYBURZ STRAWBERRY</t>
  </si>
  <si>
    <t>PLACERVILLE DISP PLANT</t>
  </si>
  <si>
    <t>ROBBS PEAK P H</t>
  </si>
  <si>
    <t>BALCH POWER HOUSE</t>
  </si>
  <si>
    <t>COALINGA 1 SE</t>
  </si>
  <si>
    <t>FLORENCE LAKE</t>
  </si>
  <si>
    <t>FRESNO YOSEMITE INTL</t>
  </si>
  <si>
    <t>HUNTINGTON LAKE</t>
  </si>
  <si>
    <t>STONY GORGE RESERVOIR</t>
  </si>
  <si>
    <t>EUREKA WFO WOODLEY IS</t>
  </si>
  <si>
    <t>KNEELAND 10 SSE</t>
  </si>
  <si>
    <t>MIRANDA 4 SE</t>
  </si>
  <si>
    <t>MIRANDA SPENGLER RANCH</t>
  </si>
  <si>
    <t>EL CENTRO 2 SSW</t>
  </si>
  <si>
    <t>BISHOP AP</t>
  </si>
  <si>
    <t>LONE PINE COTTONWOOD PH</t>
  </si>
  <si>
    <t>BAKERSFIELD AP</t>
  </si>
  <si>
    <t>BORON</t>
  </si>
  <si>
    <t>GLENNVILLE FULTON RNGR</t>
  </si>
  <si>
    <t>LOST HILLS</t>
  </si>
  <si>
    <t>Pasture/Grassland/Range: &gt;75% ground cover &amp; lightly grazed</t>
  </si>
  <si>
    <t>SEPULVEDA DAM</t>
  </si>
  <si>
    <t>SIGNAL HILL FC 415</t>
  </si>
  <si>
    <t>HANSEN DAM</t>
  </si>
  <si>
    <t>LECHUZA PTRL ST FC352B</t>
  </si>
  <si>
    <t>LOS ANGELES CIVIC CENTE</t>
  </si>
  <si>
    <t>LOS ANGELES WSO ARPT</t>
  </si>
  <si>
    <t>NEWHALL S FC32CE</t>
  </si>
  <si>
    <t>PALMDALE</t>
  </si>
  <si>
    <t>SAN DIMAS TANBARK FLAT</t>
  </si>
  <si>
    <t>Pasture/Grassland/Range: 50% to 75% ground cover &amp; not heavily grazed</t>
  </si>
  <si>
    <t>MOUNT TAMALPAIS 2 SW</t>
  </si>
  <si>
    <t>NOVATO 8 WNW</t>
  </si>
  <si>
    <t>CATHEYS VLY BULL R RCH</t>
  </si>
  <si>
    <t>WAWONA RANGER STATION</t>
  </si>
  <si>
    <t>YOSEMITE PARK HDQTRS</t>
  </si>
  <si>
    <t>COVELO EEL RIVER RS</t>
  </si>
  <si>
    <t>FORT BRAGG 5 N</t>
  </si>
  <si>
    <t>LAYTONVILLE</t>
  </si>
  <si>
    <t>NAVARRO 1 NW</t>
  </si>
  <si>
    <t>POINT ARENA</t>
  </si>
  <si>
    <t>POTTER VALLEY 3 SE</t>
  </si>
  <si>
    <t>POTTER VALLEY P H</t>
  </si>
  <si>
    <t>WILLITS HOWARD FOREST R</t>
  </si>
  <si>
    <t>YORKVILLE</t>
  </si>
  <si>
    <t>MERCED 2</t>
  </si>
  <si>
    <t>FRESNO</t>
  </si>
  <si>
    <t>GLENN</t>
  </si>
  <si>
    <t xml:space="preserve">C </t>
  </si>
  <si>
    <t>D</t>
  </si>
  <si>
    <t>http://soils.usda.gov/sqi/management/files/sq_utn_2.pdf</t>
  </si>
  <si>
    <t>IMPERIAL</t>
  </si>
  <si>
    <t>FULLERTON DAM</t>
  </si>
  <si>
    <t>LAGUNA BEACH 2</t>
  </si>
  <si>
    <t>ORANGE COUNTY RESERVOIR</t>
  </si>
  <si>
    <t>SAN JUAN GUARD STN</t>
  </si>
  <si>
    <t>SANTIAGO DAM</t>
  </si>
  <si>
    <t>SILVERADO RANGER STN</t>
  </si>
  <si>
    <t>TRABUCO CANYON</t>
  </si>
  <si>
    <t>BLUE CANYON</t>
  </si>
  <si>
    <t>HELL HOLE</t>
  </si>
  <si>
    <t>MICHIGAN BLUFF</t>
  </si>
  <si>
    <t>HAMILTON BRANCH FIRE DE</t>
  </si>
  <si>
    <t>PLUMAS EUREKA STATE PAR</t>
  </si>
  <si>
    <t>PORTOLA</t>
  </si>
  <si>
    <t>BEAUMONT</t>
  </si>
  <si>
    <t>BLYTHE 7 W</t>
  </si>
  <si>
    <t>ELSINORE</t>
  </si>
  <si>
    <t>HAYFIELD PUMPING PLANT</t>
  </si>
  <si>
    <t>HURKEY CREEK PARK</t>
  </si>
  <si>
    <t>IDYLLWILD FIRE DEPT</t>
  </si>
  <si>
    <t>PRADO DAM</t>
  </si>
  <si>
    <t>RIVERSIDE CITRUS EXP ST</t>
  </si>
  <si>
    <t>SAN JACINTO R S</t>
  </si>
  <si>
    <t>SACRAMENTO DOWNTOWN</t>
  </si>
  <si>
    <t>SACRAMENTO FAA ARPT</t>
  </si>
  <si>
    <t>SAN BENITO</t>
  </si>
  <si>
    <t>HERNANDEZ 7 SE</t>
  </si>
  <si>
    <t>LYTLE CREEK FOOTHILL BL</t>
  </si>
  <si>
    <t>LYTLE CREEK R S</t>
  </si>
  <si>
    <t>MILL CREEK INTAKE</t>
  </si>
  <si>
    <t xml:space="preserve">Total Runoff Volume Reduction Credit </t>
    <phoneticPr fontId="0" type="noConversion"/>
  </si>
  <si>
    <t>LOWER OTAY RESERVOIR</t>
  </si>
  <si>
    <t>MORENA DAM</t>
  </si>
  <si>
    <t>CRAWFORD RANCH</t>
  </si>
  <si>
    <t>CUYAMACA</t>
  </si>
  <si>
    <t>SAN DIEGO WSO AIRPORT</t>
  </si>
  <si>
    <t>WARNER SPRINGS</t>
  </si>
  <si>
    <t>SAN FRANCISCO DOWNTOWN</t>
  </si>
  <si>
    <t>SAN FRANCISCO OCEANSIDE</t>
  </si>
  <si>
    <t>STOCKTON AP</t>
  </si>
  <si>
    <t>STOCKTON DISPOSAL PLANT</t>
  </si>
  <si>
    <t>TRACY 2 SSE</t>
  </si>
  <si>
    <t>SAN LUIS OBISPO</t>
  </si>
  <si>
    <t>CHOLAME ALLEY RANCH</t>
  </si>
  <si>
    <t>HUASNA</t>
  </si>
  <si>
    <t>SAN FRANCISCO WSO AP</t>
  </si>
  <si>
    <t>SANTA BARBARA</t>
  </si>
  <si>
    <t>CACHUMA LAKE</t>
  </si>
  <si>
    <t>CARPINTERIA RESERVOIR</t>
  </si>
  <si>
    <t>FIGUEROA MOUNTAIN</t>
  </si>
  <si>
    <t>SAN MARCOS PASS</t>
  </si>
  <si>
    <t>SANTA MARIA WSO ARPT</t>
  </si>
  <si>
    <t>SANTA YNEZ</t>
  </si>
  <si>
    <t>SURF 2 ENE</t>
  </si>
  <si>
    <t>GILROY 8 NE</t>
  </si>
  <si>
    <t>http://www.globe.gov/tctg/bulkden.pdf?sectionID=94</t>
  </si>
  <si>
    <r>
      <t xml:space="preserve">Area of </t>
    </r>
    <r>
      <rPr>
        <b/>
        <sz val="12"/>
        <rFont val="Arial"/>
        <family val="2"/>
      </rPr>
      <t>Reinforced Grass Pavement</t>
    </r>
    <r>
      <rPr>
        <sz val="12"/>
        <rFont val="Arial"/>
        <family val="2"/>
      </rPr>
      <t xml:space="preserve"> on </t>
    </r>
    <r>
      <rPr>
        <u/>
        <sz val="12"/>
        <rFont val="Arial"/>
        <family val="2"/>
      </rPr>
      <t>at least 12 inches</t>
    </r>
    <r>
      <rPr>
        <sz val="12"/>
        <rFont val="Arial"/>
        <family val="2"/>
      </rPr>
      <t xml:space="preserve"> of base with at least 20% void space over soil</t>
    </r>
  </si>
  <si>
    <t>Project Information</t>
  </si>
  <si>
    <t>**NCDENR Stormwater BMP Manual (2007)</t>
  </si>
  <si>
    <t>SHASTA</t>
  </si>
  <si>
    <t>85th Percentile 24-hr Rainfall (Coastal Comm.)</t>
  </si>
  <si>
    <t>BERKELEY</t>
  </si>
  <si>
    <t>MINERAL</t>
  </si>
  <si>
    <t>PASKENTA RANGER STN</t>
  </si>
  <si>
    <t>RED BLUFF AP</t>
  </si>
  <si>
    <t>COFFEE CREEK R S</t>
  </si>
  <si>
    <t>HYAMPOM</t>
  </si>
  <si>
    <t>WEAVERVILLE RS</t>
  </si>
  <si>
    <t>BADGER</t>
  </si>
  <si>
    <t>EXETER FAUVER RANCH</t>
  </si>
  <si>
    <t>GRANT GROVE</t>
  </si>
  <si>
    <t>LODGEPOLE</t>
  </si>
  <si>
    <t>MILO 5 NE</t>
  </si>
  <si>
    <t>SPRINGVILLE R S</t>
  </si>
  <si>
    <t>SPRINGVILLE TULE HD</t>
  </si>
  <si>
    <t>THREE RIVERS 6 SE</t>
  </si>
  <si>
    <t>THREE RIVERS EDISON PH</t>
  </si>
  <si>
    <t>UHL R S</t>
  </si>
  <si>
    <t>GROVELAND 2</t>
  </si>
  <si>
    <t>HETCH HETCHY</t>
  </si>
  <si>
    <t>PINECREST SUMMIT R S</t>
  </si>
  <si>
    <t>CHUCHUPATE RANGER STN</t>
  </si>
  <si>
    <t>MATILIJA DAM</t>
  </si>
  <si>
    <t>CLEARLAKE 4 SE</t>
  </si>
  <si>
    <t>MAHNKE</t>
  </si>
  <si>
    <t>BIEBER</t>
  </si>
  <si>
    <t>MILFORD LAUFMAN RS</t>
  </si>
  <si>
    <t>SUSANVILLE 1 WNW</t>
  </si>
  <si>
    <t>TERMO 1 E</t>
  </si>
  <si>
    <t>ACTON ESCONDIDO FC261</t>
  </si>
  <si>
    <t>ALISO CANYON OAT MTN FC</t>
  </si>
  <si>
    <t>BEL AIR FC-10A</t>
  </si>
  <si>
    <t>BIG PINES PARK FC83B</t>
  </si>
  <si>
    <t>BIRMINGHAM GEN HOSP</t>
  </si>
  <si>
    <t>BURBANK VALLEY PUMP PLA</t>
  </si>
  <si>
    <t>CHATSWORTH RESERVOIR</t>
  </si>
  <si>
    <t>Cultivated Agricultural: major crop residue cover</t>
  </si>
  <si>
    <t>Cultivated Agricultural: minor crop residue cover</t>
  </si>
  <si>
    <t>Pasture/Grassland/Range: &lt;50% ground cover or heavily grazed with no mulch</t>
  </si>
  <si>
    <t>Brush or chaparral covering less than 50% of the open space</t>
  </si>
  <si>
    <t>SPADRA LANTERMAN HOSP</t>
  </si>
  <si>
    <t>SAN JOAQUIN EXP RANGE</t>
  </si>
  <si>
    <t>Brush: &lt;50% ground cover</t>
  </si>
  <si>
    <t>Brush: 50% to 75% ground cover</t>
  </si>
  <si>
    <t>Brush: &gt;75% ground cover</t>
  </si>
  <si>
    <t>Wood &amp; Grass: &lt;50% ground cover</t>
  </si>
  <si>
    <t>Wood &amp; Grass: 50% to 75% ground cover</t>
  </si>
  <si>
    <t>Wood &amp; Grass: &gt;75% ground cover</t>
  </si>
  <si>
    <t>Woods: forest litter, small trees, and brush destroyed by grazing or burning</t>
  </si>
  <si>
    <t>Woods: grazed but not burned with some forest litter</t>
  </si>
  <si>
    <t>Woods: no grazing and adequate brush and litter</t>
  </si>
  <si>
    <t>No Edit</t>
  </si>
  <si>
    <t>SAN LUIS DAM</t>
  </si>
  <si>
    <t>ALTURAS</t>
  </si>
  <si>
    <t>DAY</t>
  </si>
  <si>
    <t>BRIDGEPORT RANGER STN</t>
  </si>
  <si>
    <t>SONORA JUNCTION</t>
  </si>
  <si>
    <t>ARROYO SECO</t>
  </si>
  <si>
    <t>BRYSON</t>
  </si>
  <si>
    <t>DEL MONTE</t>
  </si>
  <si>
    <t>KING CITY</t>
  </si>
  <si>
    <t>LOCKWOOD 1 N</t>
  </si>
  <si>
    <t>LUCIA WILLOW SPRINGS</t>
  </si>
  <si>
    <t>ANGWIN PAC UNION COL</t>
  </si>
  <si>
    <t>ATLAS ROAD BROWN</t>
  </si>
  <si>
    <t>SAINT HELENA 4 WSW</t>
  </si>
  <si>
    <t>BOWMAN DAM</t>
  </si>
  <si>
    <t>GRASS VALLEY NO 2</t>
  </si>
  <si>
    <t>NORTH BLOOMFIELD</t>
  </si>
  <si>
    <t>SODA SPRINGS 1 E</t>
  </si>
  <si>
    <t>TRUCKEE RS</t>
  </si>
  <si>
    <t>BREA DAM</t>
  </si>
  <si>
    <t>CARBON CANYON GILMAN</t>
  </si>
  <si>
    <t>EL MODENA</t>
  </si>
  <si>
    <t>Brush or chaparral covering more than 75% of the open space</t>
  </si>
  <si>
    <t>Cultivated Agricultural crops row, tree, or vine)</t>
  </si>
  <si>
    <t>Lawn, Grass, or Pasture covering 50 to 75% of the open space</t>
  </si>
  <si>
    <t>Lawn, Grass, or Pasture covering less than 50% of the open space</t>
  </si>
  <si>
    <t>Lawn, Grass, or Pasture covering more than 75% of the open space</t>
  </si>
  <si>
    <t>Mature forest or woodland area</t>
  </si>
  <si>
    <t xml:space="preserve">Mature forest or woodland area with solid canopy </t>
  </si>
  <si>
    <t>HOLLISTER 2</t>
  </si>
  <si>
    <t>HOLLISTER 9 ENE</t>
  </si>
  <si>
    <t>SAN JUAN BAUTISTA 3 SS</t>
  </si>
  <si>
    <t>UPPER TRES PINOS</t>
  </si>
  <si>
    <t>BAKER</t>
  </si>
  <si>
    <t>BIG BEAR LAKE DAM</t>
  </si>
  <si>
    <t>CAJON WEST SUMMIT</t>
  </si>
  <si>
    <t>CAMP ANGELUS</t>
  </si>
  <si>
    <t>CARBON CANYON WORKMAN</t>
  </si>
  <si>
    <t>CRESTLINE FIRE STN 2</t>
  </si>
  <si>
    <t>DAGGETT POWER PLANT</t>
  </si>
  <si>
    <t>ETIWANDA</t>
  </si>
  <si>
    <t>IRON MOUNTAIN</t>
  </si>
  <si>
    <t>Natural Desert Landscape</t>
  </si>
  <si>
    <t>Solid lawn, grass, pasture or meadow covering the open space</t>
  </si>
  <si>
    <t xml:space="preserve">Young forest or woodland area </t>
  </si>
  <si>
    <t>Non-Built Land Use Type Post Development</t>
  </si>
  <si>
    <t>Non-Built Land Use Type Pre Development</t>
  </si>
  <si>
    <t>Subtotal Runoff Volume Reduction</t>
    <phoneticPr fontId="0" type="noConversion"/>
  </si>
  <si>
    <t>Optional</t>
    <phoneticPr fontId="0" type="noConversion"/>
  </si>
  <si>
    <t xml:space="preserve">   </t>
    <phoneticPr fontId="0" type="noConversion"/>
  </si>
  <si>
    <t>Optional</t>
    <phoneticPr fontId="0" type="noConversion"/>
  </si>
  <si>
    <t>Optional</t>
    <phoneticPr fontId="0" type="noConversion"/>
  </si>
  <si>
    <t>OCEANSIDE PUMPING PLANT</t>
  </si>
  <si>
    <t>PALOMAR MOUNTAIN OBSERV</t>
  </si>
  <si>
    <t>Cu. Ft.</t>
    <phoneticPr fontId="0" type="noConversion"/>
  </si>
  <si>
    <t>MORGAN HILL</t>
  </si>
  <si>
    <t>SAN JOSE</t>
  </si>
  <si>
    <t>BOULDER CREEK LOCAT RAN</t>
  </si>
  <si>
    <t>CORRALITOS</t>
  </si>
  <si>
    <t>SUNSET STATE BEACH</t>
  </si>
  <si>
    <t>HARRISON GULCH R S</t>
  </si>
  <si>
    <t>REDDING 5 SSE</t>
  </si>
  <si>
    <t>SHASTA DAM</t>
  </si>
  <si>
    <t>VOLTA POWER HOUSE</t>
  </si>
  <si>
    <t>DOWNIEVILLE</t>
  </si>
  <si>
    <t>SIERRAVILLE R S</t>
  </si>
  <si>
    <t>ETNA</t>
  </si>
  <si>
    <t>HAPPY CAMP RANGER STN</t>
  </si>
  <si>
    <t>MONTAGUE 5 NE</t>
  </si>
  <si>
    <t>MOUNT SHASTA</t>
  </si>
  <si>
    <t>TULELAKE</t>
  </si>
  <si>
    <t>LAKE SOLANO</t>
  </si>
  <si>
    <t>PETALUMA FIRE STA 2</t>
  </si>
  <si>
    <t>SEBASTOPOL</t>
  </si>
  <si>
    <t>THE GEYSERS</t>
  </si>
  <si>
    <t>VENADO</t>
  </si>
  <si>
    <t>MODESTO 2</t>
  </si>
  <si>
    <r>
      <t xml:space="preserve"> </t>
    </r>
    <r>
      <rPr>
        <b/>
        <i/>
        <sz val="10"/>
        <color indexed="10"/>
        <rFont val="Arial"/>
        <family val="2"/>
      </rPr>
      <t>(Step 7)</t>
    </r>
    <r>
      <rPr>
        <b/>
        <i/>
        <sz val="10"/>
        <rFont val="Arial"/>
        <family val="2"/>
      </rPr>
      <t xml:space="preserve"> Sub-watershed Conditions</t>
    </r>
  </si>
  <si>
    <r>
      <t>(Step 9)</t>
    </r>
    <r>
      <rPr>
        <b/>
        <i/>
        <sz val="10"/>
        <rFont val="Arial"/>
        <family val="2"/>
      </rPr>
      <t xml:space="preserve"> Impervious Volume Reduction Credits</t>
    </r>
  </si>
  <si>
    <t>High infiltration.  Sand, loamy sand, or sandy loam.  Infiltration rate &gt; 0.3 inch/hr when wet.</t>
  </si>
  <si>
    <t>Moderate infiltration. Silt loam or loam. Infiltration rate 0.15 to 0.3 inch/hr when wet.</t>
  </si>
  <si>
    <t>Low infiltration.   Sandy clay loam.  Infiltration rate 0.05 to 0.15 inch/hr when wet.</t>
  </si>
  <si>
    <t>Very low infiltration.  Clay loam, silty clay loam, sandy clay, silty clay, or clay.  Infiltration rate 0 to 0.05 inch/hr when wet.</t>
  </si>
  <si>
    <t>PINE MOUNTAIN INN</t>
  </si>
  <si>
    <t>DAVIS 2 WSW EXP FARM</t>
  </si>
  <si>
    <t>CAMPTONVILLE R S</t>
  </si>
  <si>
    <t>WHEATLAND 2 NE</t>
  </si>
  <si>
    <t>LOCATION</t>
  </si>
  <si>
    <t>Open Space: grass cover &lt;50%</t>
  </si>
  <si>
    <t>Open Space: grass cover 50% to 75%</t>
  </si>
  <si>
    <t>Open Space: grass cover &gt;75%</t>
  </si>
  <si>
    <t>Natural Desert</t>
  </si>
  <si>
    <t>Cultivated Agricultural: Bare Soil</t>
  </si>
  <si>
    <t>Meadow: Continuous grass &amp; no grazing</t>
  </si>
  <si>
    <t xml:space="preserve">Description of Land Use  POSTDEVELOPMENT </t>
  </si>
  <si>
    <t>A mix of lawn, grass, pasture and tress covering 50-75% of the open space</t>
  </si>
  <si>
    <t>A mix of lawn, grass, pasture and tress covering less than 50% of the open space</t>
  </si>
  <si>
    <t>A mix of lawn, grass, pasture and tress covering more than 75% of the open space</t>
  </si>
  <si>
    <t>Brush or chaparral covering 50-75% of the open space</t>
  </si>
  <si>
    <t>Post-Construction Water Balance Calculator</t>
  </si>
  <si>
    <t>Runoff Curve Numbers</t>
  </si>
  <si>
    <t>Soil Quality</t>
  </si>
  <si>
    <t>Existing Rooftop Impervious Coverage</t>
  </si>
  <si>
    <t xml:space="preserve">Existing Non-Rooftop Impervious Coverage   </t>
  </si>
  <si>
    <t xml:space="preserve">Proposed  Rooftop Impervious Coverage </t>
  </si>
  <si>
    <t>Proposed Non-Rooftop Impervious Coverage</t>
  </si>
  <si>
    <t>Number of proposed evergreen trees to be planted (credit = number of trees x 0.005)*</t>
  </si>
  <si>
    <t>Number of proposed deciduous trees to be planted (credit = number of trees x 0.0025)*</t>
  </si>
  <si>
    <t>* credit amount based on credits from Stormwater Quality Design Manual for the Sacramento and South Placer Regions</t>
  </si>
  <si>
    <t>Square feet under an existing tree canopy that will remain on the property, with an average diameter at 4.5 ft above grade (i.e., diameter at breast height or DBH) is 12 in diameter or GREATER.</t>
  </si>
  <si>
    <t xml:space="preserve">Please fill out a downspout disconnection credit worksheet for each project subwatershed.  If you answer yes to all questions,  all rooftop area draining to each downspout will be subtracted from your proposed rooftop impervious coverage.    </t>
  </si>
  <si>
    <t>Design Storm</t>
  </si>
  <si>
    <t xml:space="preserve">Please fill out an impervious area disconnection credit worksheet for each project sub-watershed.  If you answer yes to all questions,  all non-rooftop impervious surface area will be subtracted from your proposed non-rooftop impervious coverage.   </t>
  </si>
  <si>
    <t>Green Roof Credit Worksheet</t>
  </si>
  <si>
    <t xml:space="preserve">* floodprone width is the width at twice the bankfull depth.  </t>
  </si>
  <si>
    <t>Do downspouts and any extensions extend at least six feet from a basement and two feet from a crawl space or concrete slab?</t>
  </si>
  <si>
    <t xml:space="preserve">Is the roof runoff from the design storm event fully contained in a raised bed or planter box or does it drain as sheet flow to a landscaped area large enough to contain the roof runoff from the design storm event? </t>
  </si>
  <si>
    <t>Is the area of rooftop connecting to each disconnected downspout  600 square feet or less?</t>
  </si>
  <si>
    <r>
      <t xml:space="preserve">The Stream Buffer and/or Vegetated Swale credits </t>
    </r>
    <r>
      <rPr>
        <b/>
        <sz val="12"/>
        <rFont val="Arial"/>
        <family val="2"/>
      </rPr>
      <t>will not</t>
    </r>
    <r>
      <rPr>
        <sz val="12"/>
        <rFont val="Arial"/>
        <family val="2"/>
      </rPr>
      <t xml:space="preserve"> be taken in this sub-watershed area?  </t>
    </r>
  </si>
  <si>
    <t>Is the maximum contributing impervious flow path length less than 75 feet or, if equal or greater than 75 feet, is a storage device (e.g. French drain, bioretention area, gravel trench) implemented to achieve the required disconnection length?</t>
  </si>
  <si>
    <t xml:space="preserve">Is the impervious area to any one discharge location less than 5,000 square feet?  </t>
  </si>
  <si>
    <r>
      <t xml:space="preserve">The Stream Buffer credit </t>
    </r>
    <r>
      <rPr>
        <b/>
        <sz val="12"/>
        <rFont val="Arial"/>
        <family val="2"/>
      </rPr>
      <t>will not</t>
    </r>
    <r>
      <rPr>
        <sz val="12"/>
        <rFont val="Arial"/>
        <family val="2"/>
      </rPr>
      <t xml:space="preserve"> be taken in this sub-watershed area?  </t>
    </r>
  </si>
  <si>
    <r>
      <t>Please fill out a greenroof credit worksheet for each project sub-watershed.  If you answer yes to all questions, 70% of the greenroof  area will be subtracted from your proposed rooftop impervious coverage.</t>
    </r>
    <r>
      <rPr>
        <b/>
        <sz val="12"/>
        <rFont val="新細明體"/>
        <family val="2"/>
        <charset val="136"/>
      </rPr>
      <t/>
    </r>
  </si>
  <si>
    <t>Is the roof slope less than 15% or does it have a grid to hold the substrate in place until it forms a thick vegetation mat?</t>
  </si>
  <si>
    <t>Has a professional engineer assessed the necessary load reserves and designed a roof structure to meet state and local codes?</t>
  </si>
  <si>
    <t>Is the irrigation needed for plant establishment and/or to sustain the green roof during extended dry periods, is the source from stored, recycled, reclaimed, or reused water?</t>
  </si>
  <si>
    <t xml:space="preserve">Please fill out a stream buffer credit worksheet for each project sub-watershed.  If you answer yes to all questions, you may subtract all impervious surface draining to each stream buffer that has not been addressed using the Downspout and/or Impervious Area Disconnection credits. </t>
  </si>
  <si>
    <t xml:space="preserve">** the maximum contributing length shall be 75 feet for impervious area </t>
  </si>
  <si>
    <t xml:space="preserve">Does runoff enter the floodprone width* or within 500 feet (whichever is larger) of a stream channel as sheet flow**?  </t>
  </si>
  <si>
    <t>Is the contributing overland slope 5% or less, or if greater than 5%, is a level spreader used?</t>
  </si>
  <si>
    <t>Is the buffer area protected from vehicle or other traffic barriers to reduce compaction?</t>
  </si>
  <si>
    <t>Will the stream buffer be maintained in an ungraded and uncompacted condition and will the vegetation be maintained in a natural condition?</t>
  </si>
  <si>
    <t>Please describe below how the project will ensure that the buffer areas will remain in ungraded and uncompacted condition and that the vegetation will be maintained in a natural condition.</t>
  </si>
  <si>
    <t>Please fill out a vegetated swale worksheet for each project subwatershed.  If you answer yes to all questions, you may subtract all impervious surface draining to each stream buffer that has not been addressed using the Downspout Disconnection credit.</t>
  </si>
  <si>
    <t>Have all vegetated swales been designed in accordance with Treatment Control BMP 30 (TC-30 - Vegetated Swale) from the California Stormwater BMP Handbook, New Development and Redevelopment (available at www.cabmphandbooks.com)?</t>
  </si>
  <si>
    <t xml:space="preserve">Is the maximum flow velocity for runoff from the design storm event less than or equal to 1.0 foot per second?  </t>
  </si>
  <si>
    <t>Existing Runoff Curve Number</t>
  </si>
  <si>
    <t>Proposed Development Runoff Curve Number</t>
  </si>
  <si>
    <t>Subtotal Runoff Volume Reduction Credit</t>
  </si>
  <si>
    <t>Proposed</t>
  </si>
  <si>
    <t>Totals:</t>
  </si>
  <si>
    <r>
      <t xml:space="preserve">What is the total area of the </t>
    </r>
    <r>
      <rPr>
        <u/>
        <sz val="8"/>
        <rFont val="Arial"/>
        <family val="2"/>
      </rPr>
      <t>landscaped areas</t>
    </r>
    <r>
      <rPr>
        <sz val="8"/>
        <rFont val="Arial"/>
        <family val="2"/>
      </rPr>
      <t xml:space="preserve"> meeting the above criteria (in acres)?</t>
    </r>
  </si>
  <si>
    <r>
      <t xml:space="preserve">What is the average depth of your </t>
    </r>
    <r>
      <rPr>
        <u/>
        <sz val="8"/>
        <rFont val="Arial"/>
        <family val="2"/>
      </rPr>
      <t>landscaped</t>
    </r>
    <r>
      <rPr>
        <sz val="8"/>
        <rFont val="Arial"/>
        <family val="2"/>
      </rPr>
      <t xml:space="preserve"> soil media meeting the above criteria (inches)?</t>
    </r>
  </si>
  <si>
    <t>Bulk Density</t>
  </si>
  <si>
    <t>Vol Land</t>
  </si>
  <si>
    <t>Credit (cu ft)</t>
  </si>
  <si>
    <t>Proposed Storm Event Threshold</t>
  </si>
  <si>
    <t>&lt;- Storm Event that will produce Runoff (Proposed)</t>
  </si>
  <si>
    <t>&lt;- Comparison between… 0 indicates a value above the Current value</t>
  </si>
  <si>
    <t>&lt;- Storm Event that will produce Runoff/ 85th %ile (Current)</t>
  </si>
  <si>
    <r>
      <t xml:space="preserve">Area of </t>
    </r>
    <r>
      <rPr>
        <b/>
        <sz val="12"/>
        <rFont val="Arial"/>
        <family val="2"/>
      </rPr>
      <t>Cobbles</t>
    </r>
    <r>
      <rPr>
        <sz val="12"/>
        <rFont val="Arial"/>
        <family val="2"/>
      </rPr>
      <t xml:space="preserve"> </t>
    </r>
    <r>
      <rPr>
        <u/>
        <sz val="12"/>
        <rFont val="Arial"/>
        <family val="2"/>
      </rPr>
      <t xml:space="preserve">more than 12 inches </t>
    </r>
    <r>
      <rPr>
        <sz val="12"/>
        <rFont val="Arial"/>
        <family val="2"/>
      </rPr>
      <t>deep and over soil</t>
    </r>
  </si>
  <si>
    <t>Welcome to the State Water Board’s Post-Construction Stormwater Calculator.</t>
  </si>
  <si>
    <r>
      <rPr>
        <b/>
        <sz val="10"/>
        <rFont val="Arial"/>
        <family val="2"/>
      </rPr>
      <t xml:space="preserve">IMPORTANT: </t>
    </r>
    <r>
      <rPr>
        <sz val="10"/>
        <rFont val="Arial"/>
        <family val="2"/>
      </rPr>
      <t xml:space="preserve"> THIS CALCULATOR CAN ONLY BE USED FOR PROJECTS THAT CREATE AND/OR REPLACE BETWEEN 2,500 SQUARE FEET AND 5,000 SQUARE FEET OF IMPERVIOUS SURFACE (OR DETATCHED SINGLE FAMILY HOMES THAT CREATE AND/OR REPLACE OVER 2,500 SQUARE FEET OF IMPERVIOUS SURFACE)</t>
    </r>
  </si>
  <si>
    <t>This calculator has been developed in response to the fact that the Post-construction Calculator developed in SMARTS and referenced in the Small MS4 Permit (Order No. 2013-0001-DWQ [CAS000004]) is only available to projects that file an NOI under the General Construction Storm Water Permit (CGP).  Therefore, we have developed this spreadsheet calculator for those projects that will not be required to enroll under SMARTS or are otherwise not required to access the SMARTS calculator, but will nonetheless be required to quantify runoff reductions resulting from implementation of Site Design Measures as specified in Section E.12.b.(ii) and F.5.g.1.(ii).</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</si>
</sst>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409]mmmm\ d\,\ yyyy;@"/>
    <numFmt numFmtId="165" formatCode="0.0"/>
    <numFmt numFmtId="166" formatCode="0.000"/>
    <numFmt numFmtId="167" formatCode="0.000000"/>
    <numFmt numFmtId="168" formatCode="0.0000000"/>
    <numFmt numFmtId="169" formatCode="0.000000000"/>
    <numFmt numFmtId="170" formatCode="0.000000000000"/>
  </numFmts>
  <fonts count="54">
    <font>
      <sz val="10"/>
      <name val="Arial"/>
    </font>
    <font>
      <sz val="10"/>
      <name val="Arial"/>
    </font>
    <font>
      <u/>
      <sz val="10"/>
      <color indexed="12"/>
      <name val="Arial"/>
      <family val="2"/>
    </font>
    <font>
      <sz val="12"/>
      <name val="Arial"/>
      <family val="2"/>
    </font>
    <font>
      <b/>
      <sz val="12"/>
      <name val="Arial"/>
      <family val="2"/>
    </font>
    <font>
      <i/>
      <sz val="12"/>
      <name val="Arial"/>
      <family val="2"/>
    </font>
    <font>
      <b/>
      <u/>
      <sz val="12"/>
      <color indexed="12"/>
      <name val="Arial"/>
      <family val="2"/>
    </font>
    <font>
      <sz val="10"/>
      <name val="Arial"/>
    </font>
    <font>
      <vertAlign val="superscript"/>
      <sz val="12"/>
      <name val="Arial"/>
      <family val="2"/>
    </font>
    <font>
      <vertAlign val="superscript"/>
      <sz val="10"/>
      <name val="Arial"/>
      <family val="2"/>
    </font>
    <font>
      <sz val="10"/>
      <name val="Arial"/>
    </font>
    <font>
      <b/>
      <sz val="12"/>
      <name val="新細明體"/>
      <family val="2"/>
      <charset val="136"/>
    </font>
    <font>
      <sz val="16"/>
      <name val="Arial"/>
      <family val="2"/>
    </font>
    <font>
      <sz val="14"/>
      <name val="Arial"/>
      <family val="2"/>
    </font>
    <font>
      <sz val="18"/>
      <name val="Arial"/>
      <family val="2"/>
    </font>
    <font>
      <u/>
      <sz val="12"/>
      <name val="Arial"/>
      <family val="2"/>
    </font>
    <font>
      <b/>
      <sz val="12"/>
      <color indexed="9"/>
      <name val="Arial"/>
      <family val="2"/>
    </font>
    <font>
      <sz val="12"/>
      <color indexed="9"/>
      <name val="Arial"/>
      <family val="2"/>
    </font>
    <font>
      <sz val="10"/>
      <color indexed="9"/>
      <name val="Arial"/>
      <family val="2"/>
    </font>
    <font>
      <u/>
      <sz val="10"/>
      <name val="Arial"/>
      <family val="2"/>
    </font>
    <font>
      <sz val="10"/>
      <name val="Arial"/>
    </font>
    <font>
      <b/>
      <u/>
      <sz val="12"/>
      <name val="Arial"/>
      <family val="2"/>
    </font>
    <font>
      <u/>
      <sz val="10"/>
      <color indexed="9"/>
      <name val="Arial"/>
      <family val="2"/>
    </font>
    <font>
      <sz val="8"/>
      <name val="Arial"/>
      <family val="2"/>
    </font>
    <font>
      <i/>
      <sz val="8"/>
      <name val="Arial"/>
      <family val="2"/>
    </font>
    <font>
      <b/>
      <sz val="8"/>
      <name val="Arial"/>
      <family val="2"/>
    </font>
    <font>
      <u/>
      <sz val="8"/>
      <color indexed="12"/>
      <name val="Arial"/>
      <family val="2"/>
    </font>
    <font>
      <sz val="12"/>
      <color indexed="9"/>
      <name val="Arial"/>
      <family val="2"/>
    </font>
    <font>
      <b/>
      <u/>
      <sz val="8"/>
      <color indexed="12"/>
      <name val="Arial"/>
      <family val="2"/>
    </font>
    <font>
      <vertAlign val="superscript"/>
      <sz val="8"/>
      <name val="Arial"/>
      <family val="2"/>
    </font>
    <font>
      <b/>
      <u/>
      <sz val="8"/>
      <name val="Arial"/>
      <family val="2"/>
    </font>
    <font>
      <sz val="8"/>
      <color indexed="9"/>
      <name val="Arial"/>
      <family val="2"/>
    </font>
    <font>
      <sz val="10"/>
      <name val="Arial"/>
    </font>
    <font>
      <sz val="72"/>
      <name val="Arial"/>
      <family val="2"/>
    </font>
    <font>
      <sz val="10"/>
      <name val="Verdana"/>
    </font>
    <font>
      <b/>
      <sz val="18"/>
      <name val="Arial"/>
      <family val="2"/>
    </font>
    <font>
      <b/>
      <i/>
      <sz val="12"/>
      <name val="Arial"/>
      <family val="2"/>
    </font>
    <font>
      <b/>
      <sz val="10"/>
      <name val="Arial"/>
      <family val="2"/>
    </font>
    <font>
      <b/>
      <i/>
      <sz val="10"/>
      <name val="Arial"/>
      <family val="2"/>
    </font>
    <font>
      <b/>
      <i/>
      <sz val="10"/>
      <color indexed="10"/>
      <name val="Arial"/>
      <family val="2"/>
    </font>
    <font>
      <b/>
      <sz val="18"/>
      <color indexed="62"/>
      <name val="Arial"/>
      <family val="2"/>
    </font>
    <font>
      <sz val="36"/>
      <color indexed="10"/>
      <name val="Arial"/>
      <family val="2"/>
    </font>
    <font>
      <sz val="8"/>
      <name val="Verdana"/>
    </font>
    <font>
      <b/>
      <sz val="14"/>
      <name val="Arial"/>
    </font>
    <font>
      <b/>
      <i/>
      <sz val="12"/>
      <color indexed="10"/>
      <name val="Arial"/>
    </font>
    <font>
      <sz val="12"/>
      <color indexed="10"/>
      <name val="Arial"/>
    </font>
    <font>
      <sz val="12"/>
      <color indexed="14"/>
      <name val="Arial"/>
    </font>
    <font>
      <i/>
      <sz val="12"/>
      <color indexed="10"/>
      <name val="Arial"/>
    </font>
    <font>
      <sz val="8"/>
      <name val="Arial"/>
    </font>
    <font>
      <u/>
      <sz val="12"/>
      <color indexed="12"/>
      <name val="Arial"/>
      <family val="2"/>
    </font>
    <font>
      <vertAlign val="subscript"/>
      <sz val="12"/>
      <name val="Arial"/>
      <family val="2"/>
    </font>
    <font>
      <sz val="10"/>
      <name val="Arial"/>
      <family val="2"/>
    </font>
    <font>
      <u/>
      <sz val="8"/>
      <name val="Arial"/>
      <family val="2"/>
    </font>
    <font>
      <sz val="10"/>
      <color rgb="FF000000"/>
      <name val="Geneva"/>
    </font>
  </fonts>
  <fills count="14">
    <fill>
      <patternFill patternType="none"/>
    </fill>
    <fill>
      <patternFill patternType="gray125"/>
    </fill>
    <fill>
      <patternFill patternType="solid">
        <fgColor indexed="8"/>
        <bgColor indexed="64"/>
      </patternFill>
    </fill>
    <fill>
      <patternFill patternType="solid">
        <fgColor indexed="51"/>
        <bgColor indexed="64"/>
      </patternFill>
    </fill>
    <fill>
      <patternFill patternType="solid">
        <fgColor indexed="55"/>
        <bgColor indexed="64"/>
      </patternFill>
    </fill>
    <fill>
      <patternFill patternType="solid">
        <fgColor indexed="23"/>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27"/>
        <bgColor indexed="8"/>
      </patternFill>
    </fill>
    <fill>
      <patternFill patternType="solid">
        <fgColor indexed="22"/>
        <bgColor indexed="64"/>
      </patternFill>
    </fill>
    <fill>
      <patternFill patternType="solid">
        <fgColor indexed="41"/>
        <bgColor indexed="64"/>
      </patternFill>
    </fill>
  </fills>
  <borders count="6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style="double">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34" fillId="0" borderId="0"/>
    <xf numFmtId="9" fontId="1" fillId="0" borderId="0" applyFont="0" applyFill="0" applyBorder="0" applyAlignment="0" applyProtection="0"/>
  </cellStyleXfs>
  <cellXfs count="534">
    <xf numFmtId="0" fontId="0" fillId="0" borderId="0" xfId="0"/>
    <xf numFmtId="0" fontId="3" fillId="0" borderId="0" xfId="0" applyFont="1"/>
    <xf numFmtId="0" fontId="4" fillId="0" borderId="0" xfId="0" applyFont="1"/>
    <xf numFmtId="0" fontId="5" fillId="0" borderId="0" xfId="0" applyFont="1"/>
    <xf numFmtId="0" fontId="6" fillId="0" borderId="0" xfId="2" applyFont="1" applyAlignment="1" applyProtection="1">
      <alignment horizontal="center"/>
    </xf>
    <xf numFmtId="0" fontId="3" fillId="0" borderId="0" xfId="0" applyFont="1" applyBorder="1" applyAlignment="1">
      <alignment horizontal="left" wrapText="1"/>
    </xf>
    <xf numFmtId="0" fontId="3" fillId="0" borderId="0" xfId="0" applyFont="1" applyProtection="1"/>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xf>
    <xf numFmtId="0" fontId="4" fillId="0" borderId="0" xfId="0" applyFont="1" applyAlignment="1"/>
    <xf numFmtId="0" fontId="3" fillId="0" borderId="0" xfId="0" applyFont="1" applyAlignment="1"/>
    <xf numFmtId="0" fontId="5" fillId="0" borderId="0" xfId="0" applyFont="1" applyAlignment="1"/>
    <xf numFmtId="0" fontId="3" fillId="0" borderId="0" xfId="0" applyFont="1" applyAlignment="1" applyProtection="1">
      <alignment wrapText="1"/>
    </xf>
    <xf numFmtId="0" fontId="4" fillId="0" borderId="0" xfId="0" applyFont="1" applyProtection="1"/>
    <xf numFmtId="0" fontId="0" fillId="0" borderId="0" xfId="0" applyProtection="1"/>
    <xf numFmtId="0" fontId="5" fillId="0" borderId="0" xfId="0" applyFont="1" applyProtection="1"/>
    <xf numFmtId="0" fontId="3" fillId="0" borderId="0" xfId="0" applyFont="1" applyBorder="1" applyAlignment="1" applyProtection="1">
      <alignment horizontal="center"/>
    </xf>
    <xf numFmtId="0" fontId="0" fillId="0" borderId="0" xfId="0" applyAlignment="1"/>
    <xf numFmtId="0" fontId="3" fillId="2" borderId="0" xfId="0" applyFont="1" applyFill="1" applyProtection="1"/>
    <xf numFmtId="2" fontId="3" fillId="0" borderId="2" xfId="0" applyNumberFormat="1" applyFont="1" applyBorder="1" applyAlignment="1" applyProtection="1">
      <alignment horizontal="center"/>
    </xf>
    <xf numFmtId="0" fontId="3" fillId="0" borderId="0" xfId="0" applyFont="1" applyAlignment="1" applyProtection="1">
      <protection locked="0"/>
    </xf>
    <xf numFmtId="0" fontId="3" fillId="0" borderId="0" xfId="0" applyFont="1" applyBorder="1" applyAlignment="1" applyProtection="1">
      <protection locked="0"/>
    </xf>
    <xf numFmtId="0" fontId="3" fillId="2" borderId="3" xfId="0" applyFont="1" applyFill="1" applyBorder="1" applyProtection="1"/>
    <xf numFmtId="0" fontId="3" fillId="2" borderId="4" xfId="0" applyFont="1" applyFill="1" applyBorder="1" applyAlignment="1" applyProtection="1">
      <alignment wrapText="1"/>
    </xf>
    <xf numFmtId="0" fontId="3" fillId="2" borderId="5" xfId="0" applyFont="1" applyFill="1" applyBorder="1" applyProtection="1"/>
    <xf numFmtId="0" fontId="3" fillId="2" borderId="6" xfId="0" applyFont="1" applyFill="1" applyBorder="1" applyProtection="1"/>
    <xf numFmtId="0" fontId="3" fillId="2" borderId="7" xfId="0" applyFont="1" applyFill="1" applyBorder="1" applyProtection="1"/>
    <xf numFmtId="0" fontId="3" fillId="0" borderId="0" xfId="0" applyNumberFormat="1" applyFont="1"/>
    <xf numFmtId="0" fontId="12" fillId="0" borderId="0" xfId="0" applyFont="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 xfId="0" applyNumberFormat="1" applyFont="1" applyBorder="1"/>
    <xf numFmtId="0" fontId="3" fillId="0" borderId="2" xfId="0" applyNumberFormat="1" applyFont="1" applyBorder="1" applyProtection="1">
      <protection locked="0"/>
    </xf>
    <xf numFmtId="0" fontId="16" fillId="0" borderId="0" xfId="0" applyFont="1" applyProtection="1"/>
    <xf numFmtId="0" fontId="17" fillId="0" borderId="0" xfId="0" applyFont="1" applyProtection="1"/>
    <xf numFmtId="0" fontId="17" fillId="0" borderId="0" xfId="0" applyFont="1" applyProtection="1">
      <protection hidden="1"/>
    </xf>
    <xf numFmtId="0" fontId="18" fillId="0" borderId="0" xfId="0" applyFont="1" applyAlignment="1" applyProtection="1">
      <protection hidden="1"/>
    </xf>
    <xf numFmtId="0" fontId="17" fillId="0" borderId="2" xfId="0" applyFont="1" applyBorder="1" applyAlignment="1" applyProtection="1">
      <alignment horizontal="center"/>
      <protection hidden="1"/>
    </xf>
    <xf numFmtId="0" fontId="17" fillId="0" borderId="2" xfId="0" applyFont="1" applyBorder="1" applyAlignment="1" applyProtection="1">
      <alignment horizontal="center" vertical="center"/>
      <protection hidden="1"/>
    </xf>
    <xf numFmtId="9" fontId="17" fillId="0" borderId="2" xfId="0" applyNumberFormat="1" applyFont="1" applyBorder="1" applyAlignment="1" applyProtection="1">
      <alignment horizontal="center" vertical="center"/>
      <protection hidden="1"/>
    </xf>
    <xf numFmtId="0" fontId="17" fillId="0" borderId="0" xfId="0" applyFont="1" applyBorder="1" applyAlignment="1" applyProtection="1">
      <alignment horizontal="center"/>
      <protection hidden="1"/>
    </xf>
    <xf numFmtId="0" fontId="22" fillId="0" borderId="0" xfId="2" applyFont="1" applyAlignment="1" applyProtection="1">
      <protection hidden="1"/>
    </xf>
    <xf numFmtId="0" fontId="7" fillId="0" borderId="0" xfId="0" applyNumberFormat="1" applyFont="1" applyAlignment="1"/>
    <xf numFmtId="0" fontId="12" fillId="0" borderId="0" xfId="0" applyFont="1" applyAlignment="1" applyProtection="1">
      <alignment horizontal="center" vertical="center"/>
    </xf>
    <xf numFmtId="0" fontId="4" fillId="0" borderId="0" xfId="0" applyFont="1" applyProtection="1">
      <protection hidden="1"/>
    </xf>
    <xf numFmtId="0" fontId="3" fillId="0" borderId="0" xfId="0" applyFont="1" applyProtection="1">
      <protection hidden="1"/>
    </xf>
    <xf numFmtId="0" fontId="3" fillId="0" borderId="0" xfId="0" applyFont="1" applyAlignment="1" applyProtection="1">
      <alignment horizontal="center" wrapText="1"/>
      <protection hidden="1"/>
    </xf>
    <xf numFmtId="0" fontId="5" fillId="0" borderId="0" xfId="0" applyFont="1" applyProtection="1">
      <protection hidden="1"/>
    </xf>
    <xf numFmtId="0" fontId="3" fillId="0" borderId="5" xfId="0" applyFont="1" applyBorder="1" applyProtection="1">
      <protection hidden="1"/>
    </xf>
    <xf numFmtId="0" fontId="3" fillId="0" borderId="6" xfId="0" applyFont="1" applyBorder="1" applyProtection="1">
      <protection hidden="1"/>
    </xf>
    <xf numFmtId="0" fontId="4" fillId="0" borderId="8"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3" fillId="0" borderId="2" xfId="0" applyFont="1" applyBorder="1" applyAlignment="1" applyProtection="1">
      <alignment horizontal="center" wrapText="1"/>
      <protection hidden="1"/>
    </xf>
    <xf numFmtId="0" fontId="3" fillId="0" borderId="2" xfId="0" applyFont="1" applyBorder="1" applyAlignment="1" applyProtection="1">
      <alignment wrapText="1"/>
      <protection hidden="1"/>
    </xf>
    <xf numFmtId="0" fontId="3" fillId="0" borderId="2" xfId="0" applyFont="1" applyBorder="1" applyAlignment="1" applyProtection="1">
      <protection hidden="1"/>
    </xf>
    <xf numFmtId="2" fontId="3" fillId="0" borderId="2" xfId="0" applyNumberFormat="1" applyFont="1" applyBorder="1" applyAlignment="1" applyProtection="1">
      <protection hidden="1"/>
    </xf>
    <xf numFmtId="0" fontId="7" fillId="3" borderId="2" xfId="0" applyFont="1" applyFill="1" applyBorder="1" applyAlignment="1" applyProtection="1">
      <alignment horizontal="left"/>
      <protection hidden="1"/>
    </xf>
    <xf numFmtId="0" fontId="3" fillId="0" borderId="2" xfId="0" applyFont="1" applyBorder="1" applyProtection="1">
      <protection hidden="1"/>
    </xf>
    <xf numFmtId="0" fontId="3" fillId="0" borderId="2" xfId="0" applyFont="1" applyBorder="1" applyAlignment="1" applyProtection="1">
      <alignment vertical="center" wrapText="1"/>
      <protection hidden="1"/>
    </xf>
    <xf numFmtId="0" fontId="3" fillId="0" borderId="2" xfId="0" applyFont="1" applyFill="1" applyBorder="1" applyAlignment="1" applyProtection="1">
      <alignment vertical="center" wrapText="1"/>
      <protection hidden="1"/>
    </xf>
    <xf numFmtId="0" fontId="3" fillId="0" borderId="2" xfId="0" applyFont="1" applyFill="1" applyBorder="1" applyAlignment="1" applyProtection="1">
      <protection hidden="1"/>
    </xf>
    <xf numFmtId="2" fontId="3" fillId="0" borderId="2" xfId="0" applyNumberFormat="1" applyFont="1" applyFill="1" applyBorder="1" applyAlignment="1" applyProtection="1">
      <protection hidden="1"/>
    </xf>
    <xf numFmtId="0" fontId="3" fillId="0" borderId="0" xfId="0" applyFont="1" applyBorder="1" applyAlignment="1" applyProtection="1">
      <alignment horizontal="left" wrapText="1"/>
      <protection hidden="1"/>
    </xf>
    <xf numFmtId="0" fontId="7" fillId="0" borderId="0" xfId="0" applyFont="1" applyProtection="1">
      <protection hidden="1"/>
    </xf>
    <xf numFmtId="0" fontId="20" fillId="0" borderId="0" xfId="0" applyFont="1" applyProtection="1">
      <protection hidden="1"/>
    </xf>
    <xf numFmtId="0" fontId="4" fillId="0" borderId="0" xfId="0" applyFont="1" applyBorder="1" applyAlignment="1" applyProtection="1">
      <alignment horizontal="center" wrapText="1"/>
      <protection hidden="1"/>
    </xf>
    <xf numFmtId="0" fontId="3" fillId="0" borderId="0" xfId="0" applyFont="1" applyBorder="1" applyAlignment="1" applyProtection="1">
      <alignment horizontal="center" wrapText="1"/>
      <protection hidden="1"/>
    </xf>
    <xf numFmtId="0" fontId="3" fillId="0" borderId="9" xfId="0" applyFont="1" applyBorder="1" applyAlignment="1" applyProtection="1">
      <alignment horizontal="center" wrapText="1"/>
      <protection hidden="1"/>
    </xf>
    <xf numFmtId="0" fontId="3" fillId="0" borderId="0" xfId="0" applyFont="1" applyBorder="1" applyAlignment="1" applyProtection="1">
      <alignment horizontal="left" vertical="top" wrapText="1"/>
      <protection hidden="1"/>
    </xf>
    <xf numFmtId="0" fontId="21" fillId="0" borderId="0" xfId="2" applyFont="1" applyAlignment="1" applyProtection="1">
      <alignment horizontal="center"/>
      <protection hidden="1"/>
    </xf>
    <xf numFmtId="0" fontId="4" fillId="0" borderId="10" xfId="0" applyFont="1" applyBorder="1" applyAlignment="1" applyProtection="1">
      <alignment horizontal="center" wrapText="1"/>
      <protection hidden="1"/>
    </xf>
    <xf numFmtId="0" fontId="3" fillId="0" borderId="11" xfId="0" applyFont="1" applyBorder="1" applyAlignment="1" applyProtection="1">
      <alignment horizontal="center" wrapText="1"/>
      <protection hidden="1"/>
    </xf>
    <xf numFmtId="0" fontId="3" fillId="0" borderId="12" xfId="0" applyFont="1" applyBorder="1" applyAlignment="1" applyProtection="1">
      <alignment horizontal="left" wrapText="1"/>
      <protection hidden="1"/>
    </xf>
    <xf numFmtId="0" fontId="3" fillId="0" borderId="13" xfId="0" applyFont="1" applyBorder="1" applyAlignment="1" applyProtection="1">
      <alignment horizontal="left" wrapText="1"/>
      <protection hidden="1"/>
    </xf>
    <xf numFmtId="0" fontId="19" fillId="0" borderId="14" xfId="2" applyFont="1" applyBorder="1" applyAlignment="1" applyProtection="1">
      <alignment horizontal="center"/>
      <protection hidden="1"/>
    </xf>
    <xf numFmtId="0" fontId="20" fillId="0" borderId="15" xfId="0" applyFont="1" applyBorder="1" applyProtection="1">
      <protection hidden="1"/>
    </xf>
    <xf numFmtId="0" fontId="20" fillId="0" borderId="16" xfId="0" applyFont="1" applyBorder="1" applyProtection="1">
      <protection hidden="1"/>
    </xf>
    <xf numFmtId="0" fontId="9" fillId="0" borderId="0" xfId="0" applyFont="1" applyProtection="1">
      <protection hidden="1"/>
    </xf>
    <xf numFmtId="0" fontId="10" fillId="0" borderId="0" xfId="0" applyFont="1" applyProtection="1">
      <protection hidden="1"/>
    </xf>
    <xf numFmtId="0" fontId="5" fillId="0" borderId="0" xfId="0" applyFont="1" applyAlignment="1" applyProtection="1">
      <alignment wrapText="1"/>
      <protection hidden="1"/>
    </xf>
    <xf numFmtId="0" fontId="3" fillId="0" borderId="4" xfId="0" applyFont="1" applyBorder="1" applyAlignment="1" applyProtection="1">
      <alignment horizontal="center"/>
      <protection hidden="1"/>
    </xf>
    <xf numFmtId="0" fontId="3" fillId="0" borderId="17" xfId="0" applyFont="1" applyBorder="1" applyAlignment="1" applyProtection="1">
      <alignment horizontal="right" wrapText="1"/>
      <protection hidden="1"/>
    </xf>
    <xf numFmtId="0" fontId="12" fillId="0" borderId="0" xfId="0" applyFont="1" applyAlignment="1" applyProtection="1">
      <alignment horizontal="center" vertical="center"/>
      <protection hidden="1"/>
    </xf>
    <xf numFmtId="0" fontId="3" fillId="0" borderId="18" xfId="0" applyFont="1" applyBorder="1" applyAlignment="1" applyProtection="1">
      <alignment horizontal="center"/>
    </xf>
    <xf numFmtId="0" fontId="3" fillId="2" borderId="2" xfId="0" applyFont="1" applyFill="1" applyBorder="1" applyProtection="1"/>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27" fillId="0" borderId="0" xfId="0" applyFont="1" applyProtection="1">
      <protection hidden="1"/>
    </xf>
    <xf numFmtId="0" fontId="27" fillId="0" borderId="0" xfId="0" applyFont="1" applyAlignment="1" applyProtection="1">
      <protection hidden="1"/>
    </xf>
    <xf numFmtId="0" fontId="12" fillId="0" borderId="19" xfId="0" applyFont="1" applyBorder="1" applyProtection="1">
      <protection locked="0"/>
    </xf>
    <xf numFmtId="0" fontId="12" fillId="0" borderId="0" xfId="0" applyFont="1" applyProtection="1">
      <protection locked="0"/>
    </xf>
    <xf numFmtId="0" fontId="12" fillId="0" borderId="0" xfId="0" applyFont="1"/>
    <xf numFmtId="0" fontId="12" fillId="0" borderId="0" xfId="0" applyFont="1" applyBorder="1" applyProtection="1">
      <protection locked="0"/>
    </xf>
    <xf numFmtId="0" fontId="12" fillId="0" borderId="9" xfId="0" applyFont="1" applyBorder="1" applyProtection="1">
      <protection locked="0"/>
    </xf>
    <xf numFmtId="0" fontId="12" fillId="0" borderId="14" xfId="0" applyFont="1" applyBorder="1" applyProtection="1">
      <protection locked="0"/>
    </xf>
    <xf numFmtId="0" fontId="12" fillId="0" borderId="15" xfId="0" applyFont="1" applyBorder="1" applyProtection="1">
      <protection locked="0"/>
    </xf>
    <xf numFmtId="0" fontId="12" fillId="0" borderId="16" xfId="0" applyFont="1" applyBorder="1" applyProtection="1">
      <protection locked="0"/>
    </xf>
    <xf numFmtId="0" fontId="13" fillId="0" borderId="14" xfId="0" applyFont="1" applyBorder="1" applyProtection="1">
      <protection locked="0"/>
    </xf>
    <xf numFmtId="0" fontId="13" fillId="0" borderId="15" xfId="0" applyFont="1" applyBorder="1" applyProtection="1">
      <protection locked="0"/>
    </xf>
    <xf numFmtId="0" fontId="13" fillId="0" borderId="16" xfId="0" applyFont="1" applyBorder="1" applyProtection="1">
      <protection locked="0"/>
    </xf>
    <xf numFmtId="0" fontId="14" fillId="0" borderId="20" xfId="0" applyFont="1" applyBorder="1" applyProtection="1">
      <protection locked="0"/>
    </xf>
    <xf numFmtId="2" fontId="14" fillId="0" borderId="21" xfId="0" applyNumberFormat="1" applyFont="1" applyBorder="1" applyProtection="1">
      <protection locked="0"/>
    </xf>
    <xf numFmtId="0" fontId="14" fillId="0" borderId="22" xfId="0" applyFont="1" applyBorder="1" applyProtection="1">
      <protection locked="0"/>
    </xf>
    <xf numFmtId="0" fontId="14" fillId="0" borderId="19" xfId="0" applyFont="1" applyBorder="1" applyProtection="1">
      <protection locked="0"/>
    </xf>
    <xf numFmtId="2" fontId="14" fillId="0" borderId="0" xfId="0" applyNumberFormat="1" applyFont="1" applyBorder="1" applyProtection="1">
      <protection locked="0"/>
    </xf>
    <xf numFmtId="0" fontId="14" fillId="0" borderId="9" xfId="0" applyFont="1" applyBorder="1" applyProtection="1">
      <protection locked="0"/>
    </xf>
    <xf numFmtId="0" fontId="3" fillId="2" borderId="23" xfId="0" applyFont="1" applyFill="1" applyBorder="1" applyProtection="1"/>
    <xf numFmtId="0" fontId="23" fillId="4" borderId="0" xfId="0" applyFont="1" applyFill="1" applyBorder="1" applyProtection="1"/>
    <xf numFmtId="2" fontId="25" fillId="5" borderId="0" xfId="0" applyNumberFormat="1" applyFont="1" applyFill="1" applyBorder="1" applyAlignment="1" applyProtection="1">
      <alignment horizontal="right"/>
    </xf>
    <xf numFmtId="0" fontId="23" fillId="5" borderId="0" xfId="0" applyFont="1" applyFill="1" applyBorder="1" applyProtection="1"/>
    <xf numFmtId="0" fontId="25" fillId="5" borderId="0" xfId="0" applyFont="1" applyFill="1" applyBorder="1" applyProtection="1"/>
    <xf numFmtId="0" fontId="23" fillId="4" borderId="0" xfId="0" applyFont="1" applyFill="1" applyProtection="1"/>
    <xf numFmtId="0" fontId="25" fillId="0" borderId="0" xfId="0" applyFont="1"/>
    <xf numFmtId="0" fontId="23" fillId="0" borderId="0" xfId="0" applyFont="1"/>
    <xf numFmtId="0" fontId="28" fillId="0" borderId="0" xfId="2" applyFont="1" applyAlignment="1" applyProtection="1">
      <alignment horizontal="center"/>
    </xf>
    <xf numFmtId="0" fontId="23" fillId="0" borderId="0" xfId="0" applyFont="1" applyProtection="1">
      <protection hidden="1"/>
    </xf>
    <xf numFmtId="0" fontId="23" fillId="0" borderId="0" xfId="0" applyFont="1" applyAlignment="1">
      <alignment wrapText="1"/>
    </xf>
    <xf numFmtId="0" fontId="24" fillId="0" borderId="0" xfId="0" applyFont="1"/>
    <xf numFmtId="0" fontId="23" fillId="0" borderId="24" xfId="0" applyFont="1" applyBorder="1" applyAlignment="1">
      <alignment horizontal="center"/>
    </xf>
    <xf numFmtId="0" fontId="23" fillId="0" borderId="0" xfId="0" applyFont="1" applyBorder="1" applyAlignment="1">
      <alignment horizontal="center"/>
    </xf>
    <xf numFmtId="0" fontId="23" fillId="0" borderId="0" xfId="0" applyFont="1" applyBorder="1" applyAlignment="1" applyProtection="1">
      <alignment horizontal="center" vertical="center"/>
      <protection locked="0"/>
    </xf>
    <xf numFmtId="0" fontId="23"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horizontal="center" vertical="center"/>
      <protection locked="0"/>
    </xf>
    <xf numFmtId="0" fontId="30" fillId="0" borderId="0" xfId="2" applyFont="1" applyAlignment="1" applyProtection="1">
      <alignment horizontal="center"/>
    </xf>
    <xf numFmtId="0" fontId="23" fillId="0" borderId="8" xfId="0" applyFont="1" applyFill="1" applyBorder="1" applyAlignment="1">
      <alignment wrapText="1"/>
    </xf>
    <xf numFmtId="0" fontId="23" fillId="0" borderId="5" xfId="0" applyFont="1" applyBorder="1" applyAlignment="1">
      <alignment wrapText="1"/>
    </xf>
    <xf numFmtId="0" fontId="23" fillId="0" borderId="4" xfId="0" applyFont="1" applyBorder="1" applyAlignment="1">
      <alignment horizontal="center"/>
    </xf>
    <xf numFmtId="0" fontId="23" fillId="0" borderId="8" xfId="0" applyFont="1" applyBorder="1" applyAlignment="1">
      <alignment wrapText="1"/>
    </xf>
    <xf numFmtId="0" fontId="23" fillId="0" borderId="25" xfId="0" applyFont="1" applyBorder="1" applyAlignment="1">
      <alignment horizontal="center"/>
    </xf>
    <xf numFmtId="0" fontId="23" fillId="0" borderId="0" xfId="0" applyFont="1" applyAlignment="1">
      <alignment horizontal="left" vertical="center" wrapText="1"/>
    </xf>
    <xf numFmtId="0" fontId="23" fillId="0" borderId="26" xfId="0" applyFont="1" applyBorder="1" applyAlignment="1">
      <alignment wrapText="1"/>
    </xf>
    <xf numFmtId="0" fontId="23" fillId="0" borderId="1" xfId="0" applyFont="1" applyBorder="1" applyAlignment="1">
      <alignment horizontal="center"/>
    </xf>
    <xf numFmtId="0" fontId="26" fillId="0" borderId="0" xfId="2" applyFont="1" applyAlignment="1" applyProtection="1"/>
    <xf numFmtId="0" fontId="31" fillId="0" borderId="0" xfId="0" applyFont="1" applyProtection="1">
      <protection hidden="1"/>
    </xf>
    <xf numFmtId="0" fontId="31" fillId="0" borderId="0" xfId="0" applyFont="1"/>
    <xf numFmtId="0" fontId="2" fillId="0" borderId="0" xfId="2" applyAlignment="1" applyProtection="1">
      <alignment horizontal="center"/>
      <protection hidden="1"/>
    </xf>
    <xf numFmtId="0" fontId="2" fillId="0" borderId="0" xfId="2" applyAlignment="1" applyProtection="1">
      <alignment horizontal="center"/>
    </xf>
    <xf numFmtId="2" fontId="25" fillId="4" borderId="0" xfId="0" applyNumberFormat="1" applyFont="1" applyFill="1" applyBorder="1" applyAlignment="1" applyProtection="1">
      <alignment horizontal="center" vertical="center"/>
    </xf>
    <xf numFmtId="0" fontId="32" fillId="2" borderId="0" xfId="0" applyFont="1" applyFill="1" applyAlignment="1"/>
    <xf numFmtId="0" fontId="4" fillId="2" borderId="0" xfId="0" applyFont="1" applyFill="1" applyAlignment="1" applyProtection="1">
      <alignment horizontal="left" wrapText="1"/>
    </xf>
    <xf numFmtId="1" fontId="4" fillId="2" borderId="0" xfId="0" applyNumberFormat="1" applyFont="1" applyFill="1" applyBorder="1" applyAlignment="1" applyProtection="1">
      <alignment horizontal="center"/>
    </xf>
    <xf numFmtId="1" fontId="4" fillId="2" borderId="0" xfId="0" quotePrefix="1" applyNumberFormat="1" applyFont="1" applyFill="1" applyBorder="1" applyAlignment="1" applyProtection="1">
      <alignment horizontal="center"/>
    </xf>
    <xf numFmtId="0" fontId="4" fillId="2" borderId="0" xfId="0" applyFont="1" applyFill="1" applyBorder="1" applyAlignment="1" applyProtection="1">
      <alignment horizontal="center"/>
    </xf>
    <xf numFmtId="2" fontId="4" fillId="2" borderId="0" xfId="0" applyNumberFormat="1" applyFont="1" applyFill="1" applyBorder="1" applyAlignment="1" applyProtection="1">
      <alignment horizontal="center"/>
    </xf>
    <xf numFmtId="2" fontId="25" fillId="2" borderId="27" xfId="0" applyNumberFormat="1" applyFont="1" applyFill="1" applyBorder="1" applyAlignment="1" applyProtection="1"/>
    <xf numFmtId="2" fontId="25" fillId="2" borderId="23" xfId="0" applyNumberFormat="1" applyFont="1" applyFill="1" applyBorder="1" applyAlignment="1" applyProtection="1"/>
    <xf numFmtId="0" fontId="12" fillId="0" borderId="22" xfId="3" applyFont="1" applyBorder="1" applyProtection="1">
      <protection locked="0"/>
    </xf>
    <xf numFmtId="0" fontId="12" fillId="0" borderId="9" xfId="3" applyFont="1" applyBorder="1" applyProtection="1">
      <protection locked="0"/>
    </xf>
    <xf numFmtId="0" fontId="23" fillId="2" borderId="28" xfId="0" applyFont="1" applyFill="1" applyBorder="1" applyAlignment="1" applyProtection="1"/>
    <xf numFmtId="0" fontId="23" fillId="2" borderId="29" xfId="0" applyFont="1" applyFill="1" applyBorder="1" applyAlignment="1" applyProtection="1"/>
    <xf numFmtId="0" fontId="14" fillId="0" borderId="20" xfId="3" applyFont="1" applyBorder="1" applyProtection="1">
      <protection locked="0"/>
    </xf>
    <xf numFmtId="1" fontId="14" fillId="0" borderId="21" xfId="3" applyNumberFormat="1" applyFont="1" applyBorder="1" applyProtection="1">
      <protection locked="0"/>
    </xf>
    <xf numFmtId="0" fontId="35" fillId="0" borderId="19" xfId="3" applyFont="1" applyBorder="1" applyAlignment="1" applyProtection="1">
      <protection locked="0"/>
    </xf>
    <xf numFmtId="1" fontId="14" fillId="0" borderId="0" xfId="3" applyNumberFormat="1" applyFont="1" applyBorder="1" applyProtection="1">
      <protection locked="0"/>
    </xf>
    <xf numFmtId="0" fontId="40" fillId="0" borderId="19" xfId="3" applyFont="1" applyBorder="1" applyAlignment="1" applyProtection="1">
      <protection locked="0"/>
    </xf>
    <xf numFmtId="0" fontId="40" fillId="0" borderId="19" xfId="3" applyFont="1" applyBorder="1" applyProtection="1">
      <protection locked="0"/>
    </xf>
    <xf numFmtId="0" fontId="14" fillId="0" borderId="21" xfId="0" applyFont="1" applyBorder="1" applyProtection="1">
      <protection locked="0"/>
    </xf>
    <xf numFmtId="0" fontId="14" fillId="0" borderId="0" xfId="0" applyFont="1" applyBorder="1" applyProtection="1">
      <protection locked="0"/>
    </xf>
    <xf numFmtId="0" fontId="40" fillId="0" borderId="19" xfId="0" applyFont="1" applyBorder="1" applyAlignment="1" applyProtection="1">
      <protection locked="0"/>
    </xf>
    <xf numFmtId="0" fontId="1" fillId="4" borderId="0" xfId="0" applyFont="1" applyFill="1" applyBorder="1" applyProtection="1"/>
    <xf numFmtId="0" fontId="38" fillId="0" borderId="0" xfId="0" applyFont="1" applyBorder="1" applyAlignment="1" applyProtection="1">
      <alignment horizontal="center"/>
    </xf>
    <xf numFmtId="0" fontId="1" fillId="2" borderId="0" xfId="0" applyFont="1" applyFill="1" applyProtection="1"/>
    <xf numFmtId="164" fontId="4" fillId="2" borderId="8" xfId="0" applyNumberFormat="1" applyFont="1" applyFill="1" applyBorder="1" applyAlignment="1" applyProtection="1">
      <alignment horizontal="center" vertical="center"/>
      <protection locked="0"/>
    </xf>
    <xf numFmtId="164" fontId="4" fillId="2" borderId="0" xfId="0" applyNumberFormat="1" applyFont="1" applyFill="1" applyBorder="1" applyAlignment="1" applyProtection="1">
      <alignment horizontal="center" vertical="center"/>
      <protection locked="0"/>
    </xf>
    <xf numFmtId="0" fontId="4" fillId="6" borderId="27" xfId="0" applyFont="1" applyFill="1" applyBorder="1" applyAlignment="1" applyProtection="1">
      <alignment horizontal="center"/>
    </xf>
    <xf numFmtId="0" fontId="3" fillId="4" borderId="0" xfId="0" applyFont="1" applyFill="1" applyBorder="1" applyProtection="1"/>
    <xf numFmtId="0" fontId="3" fillId="4" borderId="0" xfId="0" applyFont="1" applyFill="1" applyBorder="1" applyAlignment="1" applyProtection="1">
      <alignment horizontal="center"/>
    </xf>
    <xf numFmtId="0" fontId="1" fillId="0" borderId="0" xfId="0" applyFont="1" applyProtection="1"/>
    <xf numFmtId="0" fontId="1" fillId="2" borderId="5" xfId="0" applyFont="1" applyFill="1" applyBorder="1" applyAlignment="1" applyProtection="1">
      <alignment horizontal="center"/>
    </xf>
    <xf numFmtId="0" fontId="1" fillId="2" borderId="6" xfId="0" applyFont="1" applyFill="1" applyBorder="1" applyAlignment="1" applyProtection="1">
      <alignment horizontal="center"/>
    </xf>
    <xf numFmtId="0" fontId="23" fillId="2" borderId="6" xfId="0" applyFont="1" applyFill="1" applyBorder="1" applyAlignment="1" applyProtection="1">
      <alignment horizontal="center"/>
    </xf>
    <xf numFmtId="0" fontId="0" fillId="2" borderId="0" xfId="0" applyFill="1" applyAlignment="1"/>
    <xf numFmtId="0" fontId="3" fillId="0" borderId="0" xfId="0" applyFont="1" applyBorder="1" applyProtection="1"/>
    <xf numFmtId="0" fontId="4" fillId="0" borderId="0" xfId="0" applyFont="1" applyBorder="1" applyProtection="1">
      <protection hidden="1"/>
    </xf>
    <xf numFmtId="0" fontId="3" fillId="0" borderId="0" xfId="0" applyFont="1" applyBorder="1" applyProtection="1">
      <protection hidden="1"/>
    </xf>
    <xf numFmtId="0" fontId="3" fillId="0" borderId="0" xfId="0" applyFont="1" applyAlignment="1" applyProtection="1">
      <alignment wrapText="1"/>
      <protection hidden="1"/>
    </xf>
    <xf numFmtId="0" fontId="37" fillId="6" borderId="30" xfId="0" applyFont="1" applyFill="1" applyBorder="1" applyAlignment="1" applyProtection="1">
      <alignment horizontal="right" wrapText="1"/>
    </xf>
    <xf numFmtId="0" fontId="37" fillId="6" borderId="27" xfId="0" applyFont="1" applyFill="1" applyBorder="1" applyAlignment="1" applyProtection="1">
      <alignment horizontal="right" wrapText="1"/>
    </xf>
    <xf numFmtId="0" fontId="14" fillId="2" borderId="14" xfId="0" applyFont="1" applyFill="1" applyBorder="1" applyAlignment="1" applyProtection="1">
      <alignment horizontal="left" vertical="center" wrapText="1"/>
    </xf>
    <xf numFmtId="0" fontId="14" fillId="2" borderId="15" xfId="0" applyFont="1" applyFill="1" applyBorder="1" applyAlignment="1" applyProtection="1">
      <alignment horizontal="left" vertical="center" wrapText="1"/>
    </xf>
    <xf numFmtId="0" fontId="14" fillId="2" borderId="16" xfId="0" applyFont="1" applyFill="1" applyBorder="1" applyAlignment="1" applyProtection="1">
      <alignment horizontal="left" vertical="center" wrapText="1"/>
    </xf>
    <xf numFmtId="2" fontId="4" fillId="7" borderId="6" xfId="0" applyNumberFormat="1"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2" fontId="17" fillId="0" borderId="0" xfId="0" applyNumberFormat="1" applyFont="1" applyProtection="1"/>
    <xf numFmtId="164" fontId="4" fillId="6" borderId="2" xfId="0" applyNumberFormat="1" applyFont="1" applyFill="1" applyBorder="1" applyAlignment="1" applyProtection="1">
      <alignment horizontal="center" vertical="center"/>
      <protection locked="0"/>
    </xf>
    <xf numFmtId="0" fontId="7" fillId="0" borderId="3" xfId="0" applyFont="1" applyBorder="1" applyAlignment="1" applyProtection="1">
      <alignment horizontal="left"/>
      <protection hidden="1"/>
    </xf>
    <xf numFmtId="0" fontId="3" fillId="0" borderId="2" xfId="0" applyFont="1" applyBorder="1" applyAlignment="1">
      <alignment horizontal="left" wrapText="1"/>
    </xf>
    <xf numFmtId="0" fontId="3" fillId="0" borderId="0" xfId="0" applyFont="1" applyBorder="1" applyAlignment="1" applyProtection="1">
      <alignment horizontal="right" vertical="center" wrapText="1"/>
    </xf>
    <xf numFmtId="0" fontId="44" fillId="0" borderId="0" xfId="0" applyFont="1" applyFill="1" applyBorder="1" applyAlignment="1" applyProtection="1">
      <alignment horizontal="center" wrapText="1"/>
    </xf>
    <xf numFmtId="0" fontId="45" fillId="0" borderId="2" xfId="0" applyFont="1" applyBorder="1" applyAlignment="1" applyProtection="1">
      <alignment horizontal="left" vertical="center" wrapText="1"/>
    </xf>
    <xf numFmtId="0" fontId="5" fillId="4" borderId="0" xfId="0" applyFont="1" applyFill="1" applyBorder="1" applyAlignment="1" applyProtection="1">
      <alignment horizontal="right" wrapText="1"/>
    </xf>
    <xf numFmtId="0" fontId="45" fillId="0" borderId="31" xfId="0" applyFont="1" applyBorder="1" applyAlignment="1" applyProtection="1">
      <alignment vertical="center" wrapText="1"/>
    </xf>
    <xf numFmtId="0" fontId="45" fillId="0" borderId="30" xfId="0" applyFont="1" applyBorder="1" applyAlignment="1" applyProtection="1">
      <alignment vertical="center" wrapText="1"/>
    </xf>
    <xf numFmtId="0" fontId="45" fillId="0" borderId="27" xfId="0" applyFont="1" applyBorder="1" applyAlignment="1" applyProtection="1">
      <alignment vertical="center" wrapText="1"/>
    </xf>
    <xf numFmtId="0" fontId="47" fillId="0" borderId="27" xfId="0" applyFont="1" applyBorder="1" applyAlignment="1" applyProtection="1">
      <alignment horizontal="right" vertical="center" wrapText="1"/>
    </xf>
    <xf numFmtId="0" fontId="47" fillId="0" borderId="27" xfId="0" applyFont="1" applyBorder="1" applyAlignment="1" applyProtection="1">
      <alignment horizontal="right" wrapText="1"/>
    </xf>
    <xf numFmtId="0" fontId="5" fillId="0" borderId="27" xfId="0" applyFont="1" applyBorder="1" applyAlignment="1" applyProtection="1">
      <alignment horizontal="right" wrapText="1"/>
    </xf>
    <xf numFmtId="0" fontId="4" fillId="6" borderId="23" xfId="0" applyFont="1" applyFill="1" applyBorder="1" applyAlignment="1" applyProtection="1">
      <alignment horizontal="right" wrapText="1"/>
    </xf>
    <xf numFmtId="0" fontId="37" fillId="6" borderId="28" xfId="0" applyFont="1" applyFill="1" applyBorder="1" applyAlignment="1" applyProtection="1">
      <alignment horizontal="right" wrapText="1"/>
    </xf>
    <xf numFmtId="0" fontId="1" fillId="4" borderId="9" xfId="0" applyFont="1" applyFill="1" applyBorder="1" applyProtection="1"/>
    <xf numFmtId="0" fontId="39" fillId="0" borderId="9" xfId="0" applyFont="1" applyFill="1" applyBorder="1" applyAlignment="1" applyProtection="1">
      <alignment wrapText="1"/>
    </xf>
    <xf numFmtId="0" fontId="36" fillId="2" borderId="21"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wrapText="1"/>
    </xf>
    <xf numFmtId="0" fontId="36" fillId="0" borderId="32" xfId="0" applyFont="1" applyBorder="1" applyAlignment="1" applyProtection="1">
      <alignment horizontal="right" vertical="center" wrapText="1"/>
    </xf>
    <xf numFmtId="0" fontId="36" fillId="0" borderId="1" xfId="0" applyFont="1" applyBorder="1" applyAlignment="1" applyProtection="1">
      <alignment horizontal="right" vertical="center" wrapText="1"/>
    </xf>
    <xf numFmtId="0" fontId="36" fillId="0" borderId="2" xfId="0" applyFont="1" applyBorder="1" applyAlignment="1" applyProtection="1">
      <alignment horizontal="right" vertical="center" wrapText="1"/>
    </xf>
    <xf numFmtId="1" fontId="4" fillId="7" borderId="1" xfId="0" applyNumberFormat="1" applyFont="1" applyFill="1" applyBorder="1" applyAlignment="1" applyProtection="1">
      <alignment horizontal="center" vertical="center"/>
    </xf>
    <xf numFmtId="1" fontId="4" fillId="7" borderId="4" xfId="0" applyNumberFormat="1" applyFont="1" applyFill="1" applyBorder="1" applyAlignment="1" applyProtection="1">
      <alignment horizontal="center" vertical="center"/>
    </xf>
    <xf numFmtId="0" fontId="4" fillId="0" borderId="2" xfId="2" applyFont="1" applyBorder="1" applyAlignment="1" applyProtection="1">
      <alignment horizontal="center" vertical="center" wrapText="1"/>
    </xf>
    <xf numFmtId="0" fontId="3" fillId="0" borderId="2" xfId="0" applyFont="1" applyFill="1" applyBorder="1" applyAlignment="1" applyProtection="1">
      <alignment horizontal="left" wrapText="1"/>
    </xf>
    <xf numFmtId="0" fontId="3" fillId="0" borderId="2" xfId="0" applyFont="1" applyFill="1" applyBorder="1" applyAlignment="1" applyProtection="1">
      <alignment horizontal="left" vertical="center" wrapText="1"/>
    </xf>
    <xf numFmtId="0" fontId="4" fillId="0" borderId="2" xfId="0" applyFont="1" applyBorder="1" applyAlignment="1" applyProtection="1">
      <alignment horizontal="center" vertical="center"/>
    </xf>
    <xf numFmtId="0" fontId="23" fillId="0" borderId="0" xfId="0" applyFont="1" applyBorder="1" applyProtection="1"/>
    <xf numFmtId="0" fontId="23" fillId="4" borderId="33" xfId="0" applyFont="1" applyFill="1" applyBorder="1" applyProtection="1"/>
    <xf numFmtId="0" fontId="23" fillId="5" borderId="8" xfId="0" applyFont="1" applyFill="1" applyBorder="1" applyAlignment="1" applyProtection="1">
      <alignment horizontal="right" wrapText="1"/>
    </xf>
    <xf numFmtId="0" fontId="23" fillId="5" borderId="33" xfId="0" applyFont="1" applyFill="1" applyBorder="1" applyProtection="1"/>
    <xf numFmtId="0" fontId="23" fillId="5" borderId="8" xfId="0" applyFont="1" applyFill="1" applyBorder="1" applyAlignment="1" applyProtection="1">
      <alignment wrapText="1"/>
    </xf>
    <xf numFmtId="0" fontId="4" fillId="6" borderId="34" xfId="0" applyFont="1" applyFill="1" applyBorder="1" applyAlignment="1" applyProtection="1">
      <alignment horizontal="left" vertical="center" wrapText="1"/>
    </xf>
    <xf numFmtId="1" fontId="4" fillId="0" borderId="27" xfId="0" applyNumberFormat="1" applyFont="1" applyFill="1" applyBorder="1" applyAlignment="1" applyProtection="1">
      <alignment horizontal="center" vertical="center"/>
    </xf>
    <xf numFmtId="0" fontId="4" fillId="6" borderId="5" xfId="0" applyFont="1" applyFill="1" applyBorder="1" applyAlignment="1" applyProtection="1">
      <alignment horizontal="left" vertical="center" wrapText="1"/>
    </xf>
    <xf numFmtId="1" fontId="4" fillId="0" borderId="4" xfId="0" quotePrefix="1" applyNumberFormat="1" applyFont="1" applyFill="1" applyBorder="1" applyAlignment="1" applyProtection="1">
      <alignment horizontal="center" vertical="center"/>
    </xf>
    <xf numFmtId="0" fontId="4" fillId="5" borderId="8" xfId="0" applyFont="1" applyFill="1" applyBorder="1" applyAlignment="1" applyProtection="1">
      <alignment horizontal="left" vertical="center" wrapText="1"/>
    </xf>
    <xf numFmtId="0" fontId="4" fillId="5" borderId="33" xfId="0" applyFont="1" applyFill="1" applyBorder="1" applyAlignment="1" applyProtection="1">
      <alignment horizontal="center" vertical="center"/>
    </xf>
    <xf numFmtId="0" fontId="45" fillId="0" borderId="3" xfId="0" applyFont="1" applyFill="1" applyBorder="1" applyAlignment="1">
      <alignment horizontal="left" vertical="center" wrapText="1"/>
    </xf>
    <xf numFmtId="0" fontId="23" fillId="8" borderId="35" xfId="0" applyFont="1" applyFill="1" applyBorder="1" applyAlignment="1" applyProtection="1"/>
    <xf numFmtId="0" fontId="4" fillId="8" borderId="3" xfId="0" applyFont="1" applyFill="1" applyBorder="1" applyAlignment="1" applyProtection="1">
      <alignment horizontal="center" vertical="center"/>
      <protection locked="0"/>
    </xf>
    <xf numFmtId="2" fontId="4" fillId="8" borderId="2" xfId="0" applyNumberFormat="1" applyFont="1" applyFill="1" applyBorder="1" applyAlignment="1" applyProtection="1">
      <alignment horizontal="left"/>
      <protection locked="0"/>
    </xf>
    <xf numFmtId="0" fontId="4" fillId="8" borderId="2" xfId="0" applyFont="1" applyFill="1" applyBorder="1" applyProtection="1">
      <protection locked="0"/>
    </xf>
    <xf numFmtId="0" fontId="4" fillId="8" borderId="4" xfId="0" applyFont="1" applyFill="1" applyBorder="1" applyProtection="1">
      <protection locked="0"/>
    </xf>
    <xf numFmtId="0" fontId="23" fillId="9" borderId="36" xfId="0" applyFont="1" applyFill="1" applyBorder="1" applyAlignment="1" applyProtection="1"/>
    <xf numFmtId="2" fontId="1" fillId="0" borderId="0" xfId="0" applyNumberFormat="1" applyFont="1" applyProtection="1"/>
    <xf numFmtId="2" fontId="7" fillId="0" borderId="0" xfId="0" applyNumberFormat="1" applyFont="1" applyProtection="1"/>
    <xf numFmtId="0" fontId="7" fillId="0" borderId="0" xfId="0" applyFont="1" applyProtection="1"/>
    <xf numFmtId="49" fontId="7" fillId="0" borderId="2" xfId="0" applyNumberFormat="1" applyFont="1" applyBorder="1" applyProtection="1"/>
    <xf numFmtId="0" fontId="3" fillId="0" borderId="3" xfId="0" applyFont="1" applyBorder="1" applyAlignment="1" applyProtection="1">
      <alignment horizontal="left" wrapText="1"/>
      <protection hidden="1"/>
    </xf>
    <xf numFmtId="0" fontId="7" fillId="10" borderId="37" xfId="0" applyFont="1" applyFill="1" applyBorder="1" applyAlignment="1" applyProtection="1">
      <alignment horizontal="center" wrapText="1"/>
      <protection locked="0"/>
    </xf>
    <xf numFmtId="0" fontId="3" fillId="0" borderId="21" xfId="0" applyFont="1" applyBorder="1" applyAlignment="1" applyProtection="1">
      <alignment horizontal="center" wrapText="1"/>
      <protection hidden="1"/>
    </xf>
    <xf numFmtId="0" fontId="3" fillId="0" borderId="20" xfId="0" applyFont="1" applyBorder="1" applyAlignment="1" applyProtection="1">
      <alignment horizontal="left" wrapText="1"/>
      <protection hidden="1"/>
    </xf>
    <xf numFmtId="0" fontId="3" fillId="0" borderId="38" xfId="0" applyFont="1" applyBorder="1" applyAlignment="1" applyProtection="1">
      <alignment horizontal="center"/>
      <protection hidden="1"/>
    </xf>
    <xf numFmtId="0" fontId="3" fillId="8" borderId="2" xfId="0" applyFont="1" applyFill="1" applyBorder="1" applyAlignment="1" applyProtection="1">
      <alignment horizontal="center"/>
      <protection hidden="1"/>
    </xf>
    <xf numFmtId="0" fontId="3" fillId="8" borderId="2" xfId="0" applyFont="1" applyFill="1" applyBorder="1" applyAlignment="1" applyProtection="1">
      <alignment horizontal="center" vertical="center"/>
      <protection locked="0"/>
    </xf>
    <xf numFmtId="0" fontId="7" fillId="8" borderId="18" xfId="0" applyFont="1" applyFill="1" applyBorder="1" applyAlignment="1" applyProtection="1">
      <alignment horizontal="left"/>
      <protection locked="0"/>
    </xf>
    <xf numFmtId="0" fontId="7" fillId="8" borderId="37" xfId="0" applyFont="1" applyFill="1" applyBorder="1" applyAlignment="1" applyProtection="1">
      <alignment horizontal="left"/>
      <protection locked="0"/>
    </xf>
    <xf numFmtId="0" fontId="3" fillId="8" borderId="37" xfId="0" applyFont="1" applyFill="1" applyBorder="1" applyAlignment="1" applyProtection="1">
      <alignment horizontal="left" wrapText="1"/>
      <protection locked="0"/>
    </xf>
    <xf numFmtId="0" fontId="3" fillId="8" borderId="39" xfId="0" applyFont="1" applyFill="1" applyBorder="1" applyAlignment="1" applyProtection="1">
      <alignment horizontal="left" wrapText="1"/>
      <protection locked="0"/>
    </xf>
    <xf numFmtId="1" fontId="3" fillId="8" borderId="2" xfId="0" applyNumberFormat="1" applyFont="1" applyFill="1" applyBorder="1" applyAlignment="1" applyProtection="1">
      <alignment horizontal="center" vertical="center"/>
      <protection locked="0"/>
    </xf>
    <xf numFmtId="9" fontId="3" fillId="8" borderId="2" xfId="0" applyNumberFormat="1" applyFont="1" applyFill="1" applyBorder="1" applyAlignment="1" applyProtection="1">
      <alignment horizontal="center" vertical="center"/>
      <protection locked="0"/>
    </xf>
    <xf numFmtId="9" fontId="3" fillId="8" borderId="1" xfId="0" applyNumberFormat="1" applyFont="1" applyFill="1" applyBorder="1" applyAlignment="1" applyProtection="1">
      <alignment horizontal="center" vertical="center"/>
      <protection locked="0"/>
    </xf>
    <xf numFmtId="0" fontId="23" fillId="8" borderId="2" xfId="0" applyFont="1" applyFill="1" applyBorder="1" applyAlignment="1" applyProtection="1">
      <alignment horizontal="center" vertical="center" wrapText="1"/>
      <protection locked="0"/>
    </xf>
    <xf numFmtId="0" fontId="23" fillId="8" borderId="2" xfId="0" applyFont="1" applyFill="1" applyBorder="1" applyAlignment="1" applyProtection="1">
      <alignment horizontal="center" vertical="center"/>
      <protection locked="0"/>
    </xf>
    <xf numFmtId="0" fontId="3" fillId="8" borderId="2" xfId="0" applyNumberFormat="1" applyFont="1" applyFill="1" applyBorder="1" applyAlignment="1" applyProtection="1">
      <alignment horizontal="center" vertical="center"/>
      <protection locked="0"/>
    </xf>
    <xf numFmtId="0" fontId="3" fillId="8" borderId="1" xfId="0" applyNumberFormat="1" applyFont="1" applyFill="1" applyBorder="1" applyAlignment="1" applyProtection="1">
      <alignment horizontal="center" vertical="center"/>
      <protection locked="0"/>
    </xf>
    <xf numFmtId="2" fontId="3" fillId="0" borderId="0" xfId="0" applyNumberFormat="1" applyFont="1" applyProtection="1">
      <protection hidden="1"/>
    </xf>
    <xf numFmtId="2" fontId="3" fillId="0" borderId="0" xfId="0" applyNumberFormat="1" applyFont="1" applyAlignment="1" applyProtection="1">
      <alignment horizontal="center" wrapText="1"/>
      <protection hidden="1"/>
    </xf>
    <xf numFmtId="2" fontId="3" fillId="0" borderId="2" xfId="0" applyNumberFormat="1" applyFont="1" applyBorder="1" applyAlignment="1" applyProtection="1">
      <alignment horizontal="center"/>
      <protection hidden="1"/>
    </xf>
    <xf numFmtId="2" fontId="7" fillId="0" borderId="0" xfId="0" applyNumberFormat="1" applyFont="1" applyProtection="1">
      <protection hidden="1"/>
    </xf>
    <xf numFmtId="2" fontId="2" fillId="0" borderId="0" xfId="2" applyNumberFormat="1" applyAlignment="1" applyProtection="1">
      <alignment horizontal="center"/>
      <protection hidden="1"/>
    </xf>
    <xf numFmtId="2" fontId="20" fillId="0" borderId="0" xfId="0" applyNumberFormat="1" applyFont="1" applyProtection="1">
      <protection hidden="1"/>
    </xf>
    <xf numFmtId="2" fontId="20" fillId="0" borderId="0" xfId="0" applyNumberFormat="1" applyFont="1" applyAlignment="1" applyProtection="1">
      <alignment horizontal="center"/>
      <protection hidden="1"/>
    </xf>
    <xf numFmtId="2" fontId="3" fillId="0" borderId="38" xfId="0" applyNumberFormat="1" applyFont="1" applyBorder="1" applyAlignment="1" applyProtection="1">
      <alignment horizontal="center"/>
      <protection hidden="1"/>
    </xf>
    <xf numFmtId="2" fontId="3" fillId="0" borderId="40" xfId="0" applyNumberFormat="1" applyFont="1" applyBorder="1" applyAlignment="1" applyProtection="1">
      <alignment horizontal="center"/>
      <protection hidden="1"/>
    </xf>
    <xf numFmtId="2" fontId="2" fillId="0" borderId="2" xfId="2" applyNumberFormat="1" applyBorder="1" applyAlignment="1" applyProtection="1">
      <alignment horizontal="center"/>
      <protection hidden="1"/>
    </xf>
    <xf numFmtId="2" fontId="3" fillId="0" borderId="0" xfId="0" applyNumberFormat="1" applyFont="1" applyBorder="1" applyAlignment="1" applyProtection="1">
      <alignment horizontal="left" vertical="top" wrapText="1"/>
      <protection hidden="1"/>
    </xf>
    <xf numFmtId="0" fontId="3" fillId="0" borderId="0" xfId="0" applyNumberFormat="1" applyFont="1" applyProtection="1">
      <protection hidden="1"/>
    </xf>
    <xf numFmtId="0" fontId="3" fillId="0" borderId="0" xfId="0" applyNumberFormat="1" applyFont="1" applyProtection="1"/>
    <xf numFmtId="0" fontId="3" fillId="0" borderId="0" xfId="0" applyNumberFormat="1" applyFont="1" applyProtection="1">
      <protection locked="0" hidden="1"/>
    </xf>
    <xf numFmtId="0" fontId="3" fillId="0" borderId="0" xfId="0" applyFont="1" applyProtection="1">
      <protection locked="0" hidden="1"/>
    </xf>
    <xf numFmtId="0" fontId="49" fillId="0" borderId="0" xfId="2" applyFont="1" applyAlignment="1" applyProtection="1">
      <alignment horizontal="right"/>
    </xf>
    <xf numFmtId="0" fontId="49" fillId="0" borderId="0" xfId="2" applyFont="1" applyBorder="1" applyAlignment="1" applyProtection="1">
      <alignment horizontal="right"/>
    </xf>
    <xf numFmtId="0" fontId="49" fillId="0" borderId="9" xfId="2" applyFont="1" applyBorder="1" applyAlignment="1" applyProtection="1">
      <alignment horizontal="right"/>
    </xf>
    <xf numFmtId="0" fontId="49" fillId="0" borderId="16" xfId="2" applyFont="1" applyBorder="1" applyAlignment="1" applyProtection="1">
      <alignment horizontal="right"/>
    </xf>
    <xf numFmtId="0" fontId="49" fillId="0" borderId="8" xfId="2" applyFont="1" applyBorder="1" applyAlignment="1" applyProtection="1">
      <alignment horizontal="left" wrapText="1"/>
    </xf>
    <xf numFmtId="0" fontId="3" fillId="0" borderId="34" xfId="0" applyNumberFormat="1" applyFont="1" applyBorder="1" applyAlignment="1" applyProtection="1">
      <protection locked="0"/>
    </xf>
    <xf numFmtId="0" fontId="3" fillId="0" borderId="2" xfId="0" applyNumberFormat="1" applyFont="1" applyBorder="1" applyAlignment="1" applyProtection="1">
      <protection locked="0"/>
    </xf>
    <xf numFmtId="2" fontId="3" fillId="0" borderId="0" xfId="0" applyNumberFormat="1" applyFont="1" applyProtection="1"/>
    <xf numFmtId="0" fontId="3" fillId="0" borderId="0" xfId="0" applyFont="1" applyFill="1" applyBorder="1" applyProtection="1"/>
    <xf numFmtId="0" fontId="36" fillId="0" borderId="0" xfId="0" applyFont="1" applyAlignment="1" applyProtection="1">
      <alignment wrapText="1"/>
      <protection hidden="1"/>
    </xf>
    <xf numFmtId="0" fontId="4" fillId="0" borderId="0" xfId="0" applyFont="1" applyAlignment="1" applyProtection="1">
      <alignment wrapText="1"/>
      <protection hidden="1"/>
    </xf>
    <xf numFmtId="1" fontId="4" fillId="0" borderId="2" xfId="0" applyNumberFormat="1" applyFont="1" applyFill="1" applyBorder="1" applyAlignment="1" applyProtection="1">
      <alignment horizontal="right"/>
      <protection hidden="1"/>
    </xf>
    <xf numFmtId="2" fontId="3" fillId="0" borderId="0" xfId="0" applyNumberFormat="1" applyFont="1" applyFill="1" applyProtection="1">
      <protection hidden="1"/>
    </xf>
    <xf numFmtId="0" fontId="3" fillId="0" borderId="0" xfId="0" applyFont="1" applyFill="1" applyAlignment="1" applyProtection="1">
      <alignment wrapText="1"/>
      <protection hidden="1"/>
    </xf>
    <xf numFmtId="1" fontId="3" fillId="0" borderId="0" xfId="0" applyNumberFormat="1" applyFont="1" applyProtection="1">
      <protection hidden="1"/>
    </xf>
    <xf numFmtId="166" fontId="3" fillId="0" borderId="0" xfId="0" applyNumberFormat="1" applyFont="1" applyProtection="1">
      <protection hidden="1"/>
    </xf>
    <xf numFmtId="167" fontId="3" fillId="0" borderId="0" xfId="0" applyNumberFormat="1" applyFont="1" applyProtection="1">
      <protection hidden="1"/>
    </xf>
    <xf numFmtId="168" fontId="3" fillId="0" borderId="0" xfId="0" applyNumberFormat="1" applyFont="1" applyProtection="1">
      <protection hidden="1"/>
    </xf>
    <xf numFmtId="169" fontId="3" fillId="0" borderId="0" xfId="0" applyNumberFormat="1" applyFont="1" applyProtection="1">
      <protection hidden="1"/>
    </xf>
    <xf numFmtId="2" fontId="3" fillId="0" borderId="0" xfId="0" applyNumberFormat="1" applyFont="1" applyAlignment="1"/>
    <xf numFmtId="0" fontId="3" fillId="0" borderId="0" xfId="0" applyFont="1" applyAlignment="1" applyProtection="1">
      <protection hidden="1"/>
    </xf>
    <xf numFmtId="0" fontId="51" fillId="0" borderId="0" xfId="0" applyFont="1" applyProtection="1">
      <protection hidden="1"/>
    </xf>
    <xf numFmtId="0" fontId="51" fillId="0" borderId="0" xfId="0" applyFont="1"/>
    <xf numFmtId="2" fontId="3" fillId="0" borderId="0" xfId="0" applyNumberFormat="1" applyFont="1" applyFill="1" applyAlignment="1" applyProtection="1">
      <alignment horizontal="left" wrapText="1"/>
    </xf>
    <xf numFmtId="0" fontId="3" fillId="0" borderId="0" xfId="0" applyFont="1" applyFill="1" applyAlignment="1" applyProtection="1">
      <alignment horizontal="left" wrapText="1"/>
      <protection hidden="1"/>
    </xf>
    <xf numFmtId="2" fontId="51" fillId="0" borderId="0" xfId="0" applyNumberFormat="1" applyFont="1" applyProtection="1">
      <protection hidden="1"/>
    </xf>
    <xf numFmtId="2" fontId="3" fillId="0" borderId="0" xfId="0" applyNumberFormat="1" applyFont="1" applyFill="1" applyBorder="1" applyAlignment="1" applyProtection="1">
      <alignment horizontal="center"/>
    </xf>
    <xf numFmtId="1" fontId="3" fillId="0" borderId="0" xfId="0" applyNumberFormat="1" applyFont="1" applyFill="1" applyBorder="1" applyAlignment="1" applyProtection="1">
      <alignment horizontal="center"/>
      <protection hidden="1"/>
    </xf>
    <xf numFmtId="2" fontId="3" fillId="0" borderId="0" xfId="0" quotePrefix="1" applyNumberFormat="1" applyFont="1" applyFill="1" applyBorder="1" applyAlignment="1" applyProtection="1">
      <alignment horizontal="center"/>
    </xf>
    <xf numFmtId="1" fontId="3" fillId="0" borderId="0" xfId="0" quotePrefix="1" applyNumberFormat="1"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2" fontId="3" fillId="0" borderId="0" xfId="0" applyNumberFormat="1" applyFont="1" applyFill="1" applyBorder="1" applyAlignment="1" applyProtection="1">
      <alignment horizontal="center"/>
      <protection hidden="1"/>
    </xf>
    <xf numFmtId="0" fontId="15" fillId="0" borderId="0" xfId="2" applyFont="1" applyFill="1" applyAlignment="1" applyProtection="1">
      <alignment horizontal="right"/>
      <protection hidden="1"/>
    </xf>
    <xf numFmtId="0" fontId="3" fillId="0" borderId="0" xfId="0" applyFont="1" applyFill="1" applyProtection="1">
      <protection hidden="1"/>
    </xf>
    <xf numFmtId="0" fontId="3" fillId="0" borderId="0" xfId="0" applyFont="1" applyFill="1" applyAlignment="1" applyProtection="1">
      <alignment horizontal="center" wrapText="1"/>
      <protection hidden="1"/>
    </xf>
    <xf numFmtId="0" fontId="3" fillId="0" borderId="0" xfId="0" applyFont="1" applyFill="1" applyAlignment="1" applyProtection="1">
      <alignment horizontal="center"/>
      <protection hidden="1"/>
    </xf>
    <xf numFmtId="1" fontId="3" fillId="0" borderId="0" xfId="0" applyNumberFormat="1" applyFont="1" applyFill="1" applyAlignment="1" applyProtection="1">
      <alignment horizontal="center"/>
      <protection hidden="1"/>
    </xf>
    <xf numFmtId="0" fontId="51" fillId="0" borderId="0" xfId="0" applyFont="1" applyAlignment="1" applyProtection="1">
      <protection hidden="1"/>
    </xf>
    <xf numFmtId="0" fontId="51" fillId="0" borderId="0" xfId="0" applyFont="1" applyAlignment="1"/>
    <xf numFmtId="3" fontId="4" fillId="0" borderId="0" xfId="0" applyNumberFormat="1" applyFont="1" applyFill="1" applyBorder="1" applyAlignment="1" applyProtection="1">
      <alignment horizontal="center"/>
    </xf>
    <xf numFmtId="170" fontId="3" fillId="0" borderId="0" xfId="0" applyNumberFormat="1" applyFont="1" applyProtection="1">
      <protection hidden="1"/>
    </xf>
    <xf numFmtId="0" fontId="1" fillId="0" borderId="0" xfId="0" applyFont="1"/>
    <xf numFmtId="2" fontId="51" fillId="11" borderId="0" xfId="0" applyNumberFormat="1" applyFont="1" applyFill="1" applyBorder="1" applyAlignment="1">
      <alignment vertical="center" wrapText="1"/>
    </xf>
    <xf numFmtId="1" fontId="51" fillId="0" borderId="0" xfId="0" applyNumberFormat="1" applyFont="1" applyBorder="1"/>
    <xf numFmtId="0" fontId="51" fillId="0" borderId="0" xfId="0" applyNumberFormat="1" applyFont="1" applyBorder="1" applyAlignment="1">
      <alignment vertical="center"/>
    </xf>
    <xf numFmtId="2" fontId="51" fillId="11" borderId="0" xfId="0" applyNumberFormat="1" applyFont="1" applyFill="1" applyBorder="1"/>
    <xf numFmtId="0" fontId="51" fillId="0" borderId="0" xfId="0" quotePrefix="1" applyNumberFormat="1" applyFont="1" applyBorder="1"/>
    <xf numFmtId="2" fontId="51" fillId="11" borderId="0" xfId="0" quotePrefix="1" applyNumberFormat="1" applyFont="1" applyFill="1" applyBorder="1"/>
    <xf numFmtId="0" fontId="51" fillId="0" borderId="0" xfId="0" applyNumberFormat="1" applyFont="1" applyFill="1" applyBorder="1"/>
    <xf numFmtId="0" fontId="3" fillId="0" borderId="0" xfId="0" applyFont="1" applyAlignment="1" applyProtection="1">
      <protection locked="0" hidden="1"/>
    </xf>
    <xf numFmtId="0" fontId="23" fillId="0" borderId="0" xfId="0" applyFont="1" applyProtection="1">
      <protection locked="0" hidden="1"/>
    </xf>
    <xf numFmtId="0" fontId="23" fillId="0" borderId="0" xfId="0" applyFont="1" applyAlignment="1">
      <alignment horizontal="center"/>
    </xf>
    <xf numFmtId="0" fontId="23" fillId="0" borderId="41" xfId="0" applyFont="1" applyBorder="1" applyAlignment="1" applyProtection="1">
      <alignment horizontal="center" vertical="center"/>
      <protection locked="0"/>
    </xf>
    <xf numFmtId="0" fontId="23" fillId="0" borderId="42" xfId="0" applyFont="1" applyBorder="1" applyAlignment="1">
      <alignment horizontal="center"/>
    </xf>
    <xf numFmtId="0" fontId="36" fillId="0" borderId="0" xfId="0" applyFont="1" applyAlignment="1" applyProtection="1">
      <alignment horizontal="center" wrapText="1"/>
      <protection hidden="1"/>
    </xf>
    <xf numFmtId="1" fontId="3" fillId="0" borderId="0" xfId="0" applyNumberFormat="1" applyFont="1" applyAlignment="1" applyProtection="1">
      <alignment horizontal="center"/>
      <protection hidden="1"/>
    </xf>
    <xf numFmtId="0" fontId="3" fillId="0" borderId="0" xfId="0" applyFont="1" applyAlignment="1" applyProtection="1">
      <alignment horizontal="center"/>
      <protection hidden="1"/>
    </xf>
    <xf numFmtId="2" fontId="7" fillId="8" borderId="2" xfId="0" applyNumberFormat="1" applyFont="1" applyFill="1" applyBorder="1" applyAlignment="1" applyProtection="1">
      <alignment horizontal="center"/>
      <protection locked="0"/>
    </xf>
    <xf numFmtId="0" fontId="7" fillId="8" borderId="2" xfId="0" applyFont="1" applyFill="1" applyBorder="1" applyAlignment="1" applyProtection="1">
      <alignment horizontal="center"/>
      <protection locked="0"/>
    </xf>
    <xf numFmtId="0" fontId="3" fillId="0" borderId="0" xfId="0" applyFont="1" applyBorder="1" applyAlignment="1" applyProtection="1">
      <alignment horizontal="right" wrapText="1"/>
      <protection hidden="1"/>
    </xf>
    <xf numFmtId="2" fontId="37" fillId="0" borderId="0" xfId="0" applyNumberFormat="1" applyFont="1" applyAlignment="1" applyProtection="1">
      <alignment horizontal="center"/>
      <protection hidden="1"/>
    </xf>
    <xf numFmtId="2" fontId="37" fillId="0" borderId="0" xfId="0" applyNumberFormat="1" applyFont="1" applyAlignment="1" applyProtection="1">
      <alignment horizontal="center"/>
    </xf>
    <xf numFmtId="0" fontId="3" fillId="2" borderId="0" xfId="0" applyFont="1" applyFill="1" applyAlignment="1" applyProtection="1">
      <alignment wrapText="1"/>
    </xf>
    <xf numFmtId="0" fontId="2" fillId="0" borderId="0" xfId="2" applyAlignment="1" applyProtection="1"/>
    <xf numFmtId="0" fontId="23" fillId="0" borderId="0" xfId="0" applyFont="1" applyAlignment="1">
      <alignment horizontal="left" vertical="center"/>
    </xf>
    <xf numFmtId="0" fontId="30" fillId="0" borderId="0" xfId="0" applyFont="1" applyAlignment="1">
      <alignment horizontal="center"/>
    </xf>
    <xf numFmtId="0" fontId="25" fillId="7" borderId="2" xfId="1" applyNumberFormat="1" applyFont="1" applyFill="1" applyBorder="1" applyAlignment="1" applyProtection="1">
      <alignment horizontal="left"/>
      <protection hidden="1"/>
    </xf>
    <xf numFmtId="1" fontId="3" fillId="7" borderId="41" xfId="0" applyNumberFormat="1" applyFont="1" applyFill="1" applyBorder="1" applyAlignment="1" applyProtection="1">
      <alignment horizontal="center" vertical="center"/>
      <protection hidden="1"/>
    </xf>
    <xf numFmtId="0" fontId="0" fillId="0" borderId="0" xfId="0" applyAlignment="1">
      <alignment vertical="top"/>
    </xf>
    <xf numFmtId="0" fontId="51" fillId="0" borderId="0" xfId="0" applyFont="1" applyAlignment="1">
      <alignment horizontal="center" vertical="top" wrapText="1"/>
    </xf>
    <xf numFmtId="0" fontId="0" fillId="0" borderId="0" xfId="0" applyAlignment="1">
      <alignment horizontal="center" vertical="top"/>
    </xf>
    <xf numFmtId="0" fontId="51" fillId="0" borderId="0" xfId="0" applyFont="1" applyAlignment="1">
      <alignment horizontal="left" vertical="top" wrapText="1"/>
    </xf>
    <xf numFmtId="0" fontId="0" fillId="0" borderId="0" xfId="0" applyAlignment="1">
      <alignment horizontal="left" vertical="top" wrapText="1"/>
    </xf>
    <xf numFmtId="2" fontId="4" fillId="7" borderId="2" xfId="0" applyNumberFormat="1" applyFont="1" applyFill="1" applyBorder="1" applyAlignment="1" applyProtection="1">
      <alignment horizontal="center"/>
    </xf>
    <xf numFmtId="3" fontId="4" fillId="7" borderId="34" xfId="0" applyNumberFormat="1" applyFont="1" applyFill="1" applyBorder="1" applyAlignment="1" applyProtection="1">
      <alignment horizontal="center"/>
    </xf>
    <xf numFmtId="0" fontId="0" fillId="0" borderId="3" xfId="0" applyBorder="1" applyAlignment="1">
      <alignment horizontal="center"/>
    </xf>
    <xf numFmtId="0" fontId="0" fillId="0" borderId="27" xfId="0" applyBorder="1" applyAlignment="1">
      <alignment horizontal="center"/>
    </xf>
    <xf numFmtId="0" fontId="4" fillId="8" borderId="2" xfId="0" applyFont="1" applyFill="1" applyBorder="1" applyAlignment="1" applyProtection="1">
      <alignment horizontal="center" vertical="center"/>
      <protection locked="0"/>
    </xf>
    <xf numFmtId="0" fontId="4" fillId="7" borderId="59" xfId="0" applyFont="1" applyFill="1" applyBorder="1" applyAlignment="1">
      <alignment horizontal="center" vertical="center" wrapText="1"/>
    </xf>
    <xf numFmtId="0" fontId="4" fillId="7" borderId="60" xfId="0" applyFont="1" applyFill="1" applyBorder="1" applyAlignment="1">
      <alignment horizontal="center" vertical="center" wrapText="1"/>
    </xf>
    <xf numFmtId="0" fontId="36" fillId="12" borderId="2" xfId="0" applyFont="1" applyFill="1" applyBorder="1" applyAlignment="1" applyProtection="1">
      <alignment horizontal="center" vertical="center" wrapText="1"/>
    </xf>
    <xf numFmtId="2" fontId="4" fillId="7" borderId="34" xfId="0" applyNumberFormat="1" applyFont="1" applyFill="1" applyBorder="1" applyAlignment="1" applyProtection="1">
      <alignment horizontal="center"/>
    </xf>
    <xf numFmtId="0" fontId="0" fillId="0" borderId="3" xfId="0" applyBorder="1" applyAlignment="1"/>
    <xf numFmtId="0" fontId="4" fillId="6" borderId="34" xfId="0" applyFont="1" applyFill="1" applyBorder="1" applyAlignment="1" applyProtection="1">
      <alignment horizontal="center"/>
    </xf>
    <xf numFmtId="0" fontId="4" fillId="6" borderId="27" xfId="0" applyFont="1" applyFill="1" applyBorder="1" applyAlignment="1" applyProtection="1">
      <alignment horizontal="center"/>
    </xf>
    <xf numFmtId="164" fontId="4" fillId="6" borderId="2" xfId="0" applyNumberFormat="1" applyFont="1" applyFill="1" applyBorder="1" applyAlignment="1" applyProtection="1">
      <alignment horizontal="center" vertical="center"/>
      <protection locked="0"/>
    </xf>
    <xf numFmtId="0" fontId="36" fillId="8" borderId="36" xfId="0" applyFont="1" applyFill="1" applyBorder="1" applyAlignment="1" applyProtection="1">
      <alignment horizontal="center" vertical="center" wrapText="1"/>
      <protection locked="0"/>
    </xf>
    <xf numFmtId="0" fontId="36" fillId="8" borderId="29" xfId="0" applyFont="1" applyFill="1" applyBorder="1" applyAlignment="1" applyProtection="1">
      <alignment horizontal="center" vertical="center" wrapText="1"/>
      <protection locked="0"/>
    </xf>
    <xf numFmtId="2" fontId="4" fillId="7" borderId="5" xfId="0" applyNumberFormat="1" applyFont="1" applyFill="1" applyBorder="1" applyAlignment="1" applyProtection="1">
      <alignment horizontal="center"/>
    </xf>
    <xf numFmtId="0" fontId="0" fillId="0" borderId="6" xfId="0" applyBorder="1" applyAlignment="1"/>
    <xf numFmtId="0" fontId="4" fillId="8" borderId="5" xfId="0" applyFont="1" applyFill="1" applyBorder="1" applyAlignment="1" applyProtection="1">
      <alignment horizontal="center"/>
      <protection locked="0"/>
    </xf>
    <xf numFmtId="0" fontId="4" fillId="8" borderId="23" xfId="0" applyFont="1" applyFill="1" applyBorder="1" applyAlignment="1" applyProtection="1">
      <alignment horizontal="center"/>
      <protection locked="0"/>
    </xf>
    <xf numFmtId="0" fontId="4" fillId="0" borderId="45" xfId="0" applyFont="1" applyFill="1" applyBorder="1" applyAlignment="1" applyProtection="1">
      <alignment horizontal="center"/>
    </xf>
    <xf numFmtId="0" fontId="4" fillId="0" borderId="26" xfId="0" applyFont="1" applyFill="1" applyBorder="1" applyAlignment="1" applyProtection="1">
      <alignment horizontal="center"/>
    </xf>
    <xf numFmtId="2" fontId="4" fillId="7" borderId="0" xfId="0" applyNumberFormat="1" applyFont="1" applyFill="1" applyBorder="1" applyAlignment="1" applyProtection="1">
      <alignment horizontal="left" vertical="center"/>
    </xf>
    <xf numFmtId="0" fontId="0" fillId="0" borderId="0" xfId="0" applyAlignment="1"/>
    <xf numFmtId="1" fontId="4" fillId="0" borderId="4" xfId="0" applyNumberFormat="1" applyFont="1" applyFill="1" applyBorder="1" applyAlignment="1" applyProtection="1">
      <alignment horizontal="center" vertical="center"/>
    </xf>
    <xf numFmtId="1" fontId="4" fillId="0" borderId="25" xfId="0" applyNumberFormat="1" applyFont="1" applyFill="1" applyBorder="1" applyAlignment="1" applyProtection="1">
      <alignment horizontal="center" vertical="center"/>
    </xf>
    <xf numFmtId="1" fontId="4" fillId="0" borderId="1" xfId="0" applyNumberFormat="1" applyFont="1" applyFill="1" applyBorder="1" applyAlignment="1" applyProtection="1">
      <alignment horizontal="center" vertical="center"/>
    </xf>
    <xf numFmtId="2" fontId="4" fillId="7" borderId="55" xfId="0" applyNumberFormat="1" applyFont="1" applyFill="1" applyBorder="1" applyAlignment="1" applyProtection="1">
      <alignment horizontal="left" vertical="center"/>
    </xf>
    <xf numFmtId="0" fontId="0" fillId="0" borderId="55" xfId="0" applyBorder="1" applyAlignment="1"/>
    <xf numFmtId="3" fontId="4" fillId="7" borderId="56" xfId="0" applyNumberFormat="1" applyFont="1" applyFill="1" applyBorder="1" applyAlignment="1" applyProtection="1">
      <alignment horizontal="right" vertical="center"/>
    </xf>
    <xf numFmtId="0" fontId="0" fillId="0" borderId="57" xfId="0" applyBorder="1" applyAlignment="1">
      <alignment horizontal="right" vertical="center"/>
    </xf>
    <xf numFmtId="0" fontId="3" fillId="7" borderId="6" xfId="0" applyFont="1" applyFill="1" applyBorder="1" applyAlignment="1" applyProtection="1"/>
    <xf numFmtId="1" fontId="4" fillId="7" borderId="13" xfId="0" applyNumberFormat="1" applyFont="1" applyFill="1" applyBorder="1" applyAlignment="1" applyProtection="1">
      <alignment horizontal="right" vertical="center"/>
    </xf>
    <xf numFmtId="1" fontId="0" fillId="0" borderId="13" xfId="0" applyNumberFormat="1" applyBorder="1" applyAlignment="1">
      <alignment horizontal="right" vertical="center"/>
    </xf>
    <xf numFmtId="3" fontId="4" fillId="7" borderId="58" xfId="0" applyNumberFormat="1" applyFont="1" applyFill="1" applyBorder="1" applyAlignment="1" applyProtection="1">
      <alignment horizontal="right" vertical="center"/>
    </xf>
    <xf numFmtId="0" fontId="0" fillId="0" borderId="58" xfId="0" applyBorder="1" applyAlignment="1">
      <alignment vertical="center"/>
    </xf>
    <xf numFmtId="3" fontId="4" fillId="7" borderId="35" xfId="0" applyNumberFormat="1" applyFont="1" applyFill="1" applyBorder="1" applyAlignment="1" applyProtection="1">
      <alignment horizontal="right" vertical="center"/>
    </xf>
    <xf numFmtId="0" fontId="0" fillId="0" borderId="13" xfId="0" applyBorder="1" applyAlignment="1">
      <alignment vertical="center"/>
    </xf>
    <xf numFmtId="2" fontId="4" fillId="7" borderId="45" xfId="0" applyNumberFormat="1" applyFont="1" applyFill="1" applyBorder="1" applyAlignment="1" applyProtection="1">
      <alignment horizontal="left" vertical="center"/>
    </xf>
    <xf numFmtId="0" fontId="0" fillId="7" borderId="45" xfId="0" applyFill="1" applyBorder="1" applyAlignment="1">
      <alignment horizontal="left" vertical="center"/>
    </xf>
    <xf numFmtId="0" fontId="0" fillId="0" borderId="30" xfId="0" applyBorder="1" applyAlignment="1">
      <alignment vertical="center"/>
    </xf>
    <xf numFmtId="2" fontId="4" fillId="0" borderId="19" xfId="0" applyNumberFormat="1" applyFont="1" applyFill="1" applyBorder="1" applyAlignment="1" applyProtection="1">
      <alignment horizontal="center"/>
    </xf>
    <xf numFmtId="2" fontId="4" fillId="0" borderId="0" xfId="0" applyNumberFormat="1" applyFont="1" applyFill="1" applyBorder="1" applyAlignment="1" applyProtection="1">
      <alignment horizontal="center"/>
    </xf>
    <xf numFmtId="2" fontId="4" fillId="7" borderId="51" xfId="0" applyNumberFormat="1" applyFont="1" applyFill="1" applyBorder="1" applyAlignment="1" applyProtection="1">
      <alignment horizontal="left" vertical="center"/>
    </xf>
    <xf numFmtId="0" fontId="0" fillId="0" borderId="51" xfId="0" applyBorder="1" applyAlignment="1"/>
    <xf numFmtId="2" fontId="4" fillId="7" borderId="32" xfId="0" applyNumberFormat="1" applyFont="1" applyFill="1" applyBorder="1" applyAlignment="1" applyProtection="1">
      <alignment horizontal="center"/>
    </xf>
    <xf numFmtId="3" fontId="4" fillId="7" borderId="43" xfId="0" applyNumberFormat="1" applyFont="1" applyFill="1" applyBorder="1" applyAlignment="1" applyProtection="1">
      <alignment horizontal="right" vertical="center"/>
    </xf>
    <xf numFmtId="0" fontId="0" fillId="0" borderId="15" xfId="0" applyBorder="1" applyAlignment="1">
      <alignment vertical="center"/>
    </xf>
    <xf numFmtId="0" fontId="41" fillId="0" borderId="0" xfId="0" applyFont="1" applyBorder="1" applyAlignment="1" applyProtection="1">
      <alignment horizontal="center" wrapText="1"/>
    </xf>
    <xf numFmtId="9" fontId="4" fillId="7" borderId="34" xfId="4" applyFont="1" applyFill="1" applyBorder="1" applyAlignment="1" applyProtection="1">
      <alignment horizontal="center"/>
    </xf>
    <xf numFmtId="9" fontId="4" fillId="7" borderId="3" xfId="4" applyFont="1" applyFill="1" applyBorder="1" applyAlignment="1" applyProtection="1">
      <alignment horizontal="center"/>
    </xf>
    <xf numFmtId="9" fontId="4" fillId="7" borderId="27" xfId="4" applyFont="1" applyFill="1" applyBorder="1" applyAlignment="1" applyProtection="1">
      <alignment horizontal="center"/>
    </xf>
    <xf numFmtId="164" fontId="4" fillId="6" borderId="34" xfId="0" applyNumberFormat="1" applyFont="1" applyFill="1" applyBorder="1" applyAlignment="1" applyProtection="1">
      <alignment horizontal="center"/>
      <protection locked="0"/>
    </xf>
    <xf numFmtId="0" fontId="3" fillId="0" borderId="3" xfId="0" applyFont="1" applyBorder="1" applyAlignment="1">
      <alignment horizontal="center"/>
    </xf>
    <xf numFmtId="0" fontId="3" fillId="0" borderId="27" xfId="0" applyFont="1" applyBorder="1" applyAlignment="1">
      <alignment horizontal="center"/>
    </xf>
    <xf numFmtId="0" fontId="36" fillId="8" borderId="46" xfId="0" applyFont="1" applyFill="1" applyBorder="1" applyAlignment="1" applyProtection="1">
      <alignment horizontal="center" vertical="center" wrapText="1"/>
      <protection locked="0"/>
    </xf>
    <xf numFmtId="0" fontId="36" fillId="8" borderId="11" xfId="0" applyFont="1" applyFill="1" applyBorder="1" applyAlignment="1" applyProtection="1">
      <alignment horizontal="center" vertical="center" wrapText="1"/>
      <protection locked="0"/>
    </xf>
    <xf numFmtId="0" fontId="36" fillId="8" borderId="47"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6" fillId="12" borderId="54" xfId="0" applyFont="1" applyFill="1" applyBorder="1" applyAlignment="1" applyProtection="1">
      <alignment horizontal="center" vertical="center" wrapText="1"/>
    </xf>
    <xf numFmtId="0" fontId="0" fillId="0" borderId="45" xfId="0" applyBorder="1" applyAlignment="1">
      <alignment horizontal="center" vertical="center" wrapText="1"/>
    </xf>
    <xf numFmtId="0" fontId="36" fillId="8" borderId="2" xfId="0" applyFont="1" applyFill="1" applyBorder="1" applyAlignment="1" applyProtection="1">
      <alignment horizontal="center" vertical="center"/>
      <protection locked="0"/>
    </xf>
    <xf numFmtId="2" fontId="0" fillId="7" borderId="3" xfId="0" applyNumberFormat="1" applyFill="1" applyBorder="1" applyAlignment="1">
      <alignment horizontal="center"/>
    </xf>
    <xf numFmtId="2" fontId="0" fillId="7" borderId="27" xfId="0" applyNumberFormat="1" applyFill="1" applyBorder="1" applyAlignment="1">
      <alignment horizontal="center"/>
    </xf>
    <xf numFmtId="0" fontId="36" fillId="9" borderId="32" xfId="0" applyFont="1" applyFill="1" applyBorder="1" applyAlignment="1" applyProtection="1">
      <alignment horizontal="center" vertical="center"/>
      <protection locked="0"/>
    </xf>
    <xf numFmtId="0" fontId="37" fillId="6" borderId="50" xfId="0" applyFont="1" applyFill="1" applyBorder="1" applyAlignment="1" applyProtection="1">
      <alignment horizontal="center" vertical="center" wrapText="1"/>
    </xf>
    <xf numFmtId="0" fontId="37" fillId="6" borderId="26" xfId="0" applyFont="1" applyFill="1" applyBorder="1" applyAlignment="1" applyProtection="1">
      <alignment horizontal="center" vertical="center" wrapText="1"/>
    </xf>
    <xf numFmtId="1" fontId="37" fillId="6" borderId="51" xfId="0" applyNumberFormat="1" applyFont="1" applyFill="1" applyBorder="1" applyAlignment="1" applyProtection="1">
      <alignment horizontal="right" vertical="center"/>
    </xf>
    <xf numFmtId="1" fontId="37" fillId="6" borderId="45" xfId="0" applyNumberFormat="1" applyFont="1" applyFill="1" applyBorder="1" applyAlignment="1" applyProtection="1">
      <alignment horizontal="right" vertical="center"/>
    </xf>
    <xf numFmtId="0" fontId="37" fillId="6" borderId="52" xfId="0" applyFont="1" applyFill="1" applyBorder="1" applyAlignment="1" applyProtection="1">
      <alignment horizontal="left" vertical="center"/>
    </xf>
    <xf numFmtId="0" fontId="37" fillId="6" borderId="30" xfId="0" applyFont="1" applyFill="1" applyBorder="1" applyAlignment="1" applyProtection="1">
      <alignment horizontal="left" vertical="center"/>
    </xf>
    <xf numFmtId="0" fontId="43" fillId="0" borderId="8"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43" fillId="0" borderId="33" xfId="0" applyFont="1" applyBorder="1" applyAlignment="1" applyProtection="1">
      <alignment horizontal="center" vertical="center" wrapText="1"/>
    </xf>
    <xf numFmtId="0" fontId="4" fillId="6" borderId="2" xfId="0" applyFont="1" applyFill="1" applyBorder="1" applyAlignment="1" applyProtection="1">
      <alignment horizontal="left" vertical="center" wrapText="1"/>
    </xf>
    <xf numFmtId="3" fontId="4" fillId="7" borderId="5" xfId="0" applyNumberFormat="1" applyFont="1" applyFill="1" applyBorder="1" applyAlignment="1" applyProtection="1">
      <alignment horizontal="center" vertical="center"/>
    </xf>
    <xf numFmtId="3" fontId="4" fillId="7" borderId="23" xfId="0" applyNumberFormat="1" applyFont="1" applyFill="1" applyBorder="1" applyAlignment="1" applyProtection="1">
      <alignment horizontal="center" vertical="center"/>
    </xf>
    <xf numFmtId="3" fontId="4" fillId="7" borderId="8" xfId="0" applyNumberFormat="1" applyFont="1" applyFill="1" applyBorder="1" applyAlignment="1" applyProtection="1">
      <alignment horizontal="center" vertical="center"/>
    </xf>
    <xf numFmtId="3" fontId="4" fillId="7" borderId="33" xfId="0" applyNumberFormat="1" applyFont="1" applyFill="1" applyBorder="1" applyAlignment="1" applyProtection="1">
      <alignment horizontal="center" vertical="center"/>
    </xf>
    <xf numFmtId="3" fontId="4" fillId="7" borderId="26" xfId="0" applyNumberFormat="1" applyFont="1" applyFill="1" applyBorder="1" applyAlignment="1" applyProtection="1">
      <alignment horizontal="center" vertical="center"/>
    </xf>
    <xf numFmtId="3" fontId="4" fillId="7" borderId="30" xfId="0" applyNumberFormat="1" applyFont="1" applyFill="1" applyBorder="1" applyAlignment="1" applyProtection="1">
      <alignment horizontal="center" vertical="center"/>
    </xf>
    <xf numFmtId="0" fontId="36" fillId="12" borderId="35" xfId="0" applyFont="1" applyFill="1" applyBorder="1" applyAlignment="1" applyProtection="1">
      <alignment horizontal="center" vertical="center" wrapText="1"/>
    </xf>
    <xf numFmtId="0" fontId="36" fillId="12" borderId="13" xfId="0" applyFont="1" applyFill="1" applyBorder="1" applyAlignment="1" applyProtection="1">
      <alignment horizontal="center" vertical="center" wrapText="1"/>
    </xf>
    <xf numFmtId="0" fontId="36" fillId="12" borderId="53" xfId="0" applyFont="1" applyFill="1" applyBorder="1" applyAlignment="1" applyProtection="1">
      <alignment horizontal="center" vertical="center" wrapText="1"/>
    </xf>
    <xf numFmtId="3" fontId="4" fillId="7" borderId="34" xfId="0" quotePrefix="1" applyNumberFormat="1" applyFont="1" applyFill="1" applyBorder="1" applyAlignment="1" applyProtection="1">
      <alignment horizontal="center" vertical="center"/>
    </xf>
    <xf numFmtId="3" fontId="4" fillId="7" borderId="27" xfId="0" quotePrefix="1" applyNumberFormat="1" applyFont="1" applyFill="1" applyBorder="1" applyAlignment="1" applyProtection="1">
      <alignment horizontal="center" vertical="center"/>
    </xf>
    <xf numFmtId="2" fontId="4" fillId="7" borderId="2" xfId="0" applyNumberFormat="1" applyFont="1" applyFill="1" applyBorder="1" applyAlignment="1" applyProtection="1">
      <alignment horizontal="center" vertical="center"/>
    </xf>
    <xf numFmtId="0" fontId="36" fillId="9" borderId="1" xfId="0" applyFont="1" applyFill="1" applyBorder="1" applyAlignment="1" applyProtection="1">
      <alignment horizontal="center" vertical="center"/>
      <protection locked="0"/>
    </xf>
    <xf numFmtId="0" fontId="36" fillId="12" borderId="26" xfId="0" applyFont="1" applyFill="1" applyBorder="1" applyAlignment="1" applyProtection="1">
      <alignment horizontal="center" vertical="center" wrapText="1"/>
    </xf>
    <xf numFmtId="0" fontId="36" fillId="12" borderId="45" xfId="0" applyFont="1" applyFill="1" applyBorder="1" applyAlignment="1" applyProtection="1">
      <alignment horizontal="center" vertical="center" wrapText="1"/>
    </xf>
    <xf numFmtId="0" fontId="36" fillId="12" borderId="30" xfId="0" applyFont="1" applyFill="1" applyBorder="1" applyAlignment="1" applyProtection="1">
      <alignment horizontal="center" vertical="center" wrapText="1"/>
    </xf>
    <xf numFmtId="0" fontId="4" fillId="6" borderId="8" xfId="0" applyFont="1" applyFill="1" applyBorder="1" applyAlignment="1" applyProtection="1">
      <alignment horizontal="center"/>
    </xf>
    <xf numFmtId="0" fontId="4" fillId="6" borderId="0" xfId="0" applyFont="1" applyFill="1" applyBorder="1" applyAlignment="1" applyProtection="1">
      <alignment horizontal="center"/>
    </xf>
    <xf numFmtId="0" fontId="3" fillId="6" borderId="33" xfId="0" applyFont="1" applyFill="1" applyBorder="1" applyAlignment="1" applyProtection="1">
      <alignment horizontal="center"/>
    </xf>
    <xf numFmtId="0" fontId="4" fillId="0" borderId="8" xfId="0" applyFont="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33" xfId="0" applyFont="1" applyBorder="1" applyAlignment="1" applyProtection="1">
      <alignment horizontal="right" vertical="center" wrapText="1"/>
    </xf>
    <xf numFmtId="164" fontId="4" fillId="6" borderId="48" xfId="0" applyNumberFormat="1" applyFont="1" applyFill="1" applyBorder="1" applyAlignment="1" applyProtection="1">
      <alignment horizontal="center" vertical="center"/>
      <protection locked="0"/>
    </xf>
    <xf numFmtId="164" fontId="4" fillId="6" borderId="21" xfId="0" applyNumberFormat="1" applyFont="1" applyFill="1" applyBorder="1" applyAlignment="1" applyProtection="1">
      <alignment horizontal="center" vertical="center"/>
      <protection locked="0"/>
    </xf>
    <xf numFmtId="164" fontId="4" fillId="6" borderId="49" xfId="0" applyNumberFormat="1" applyFont="1" applyFill="1" applyBorder="1" applyAlignment="1" applyProtection="1">
      <alignment horizontal="center" vertical="center"/>
      <protection locked="0"/>
    </xf>
    <xf numFmtId="0" fontId="36" fillId="9" borderId="2" xfId="0" applyFont="1" applyFill="1" applyBorder="1" applyAlignment="1" applyProtection="1">
      <alignment horizontal="center" vertical="center"/>
      <protection locked="0"/>
    </xf>
    <xf numFmtId="0" fontId="4" fillId="6" borderId="26" xfId="0" applyFont="1" applyFill="1" applyBorder="1" applyAlignment="1" applyProtection="1">
      <alignment horizontal="center"/>
    </xf>
    <xf numFmtId="0" fontId="0" fillId="0" borderId="45" xfId="0" applyBorder="1" applyAlignment="1"/>
    <xf numFmtId="3" fontId="4" fillId="7" borderId="34" xfId="0" applyNumberFormat="1" applyFont="1" applyFill="1" applyBorder="1" applyAlignment="1" applyProtection="1">
      <alignment horizontal="center" vertical="center"/>
    </xf>
    <xf numFmtId="3" fontId="4" fillId="7" borderId="27" xfId="0" applyNumberFormat="1" applyFont="1" applyFill="1" applyBorder="1" applyAlignment="1" applyProtection="1">
      <alignment horizontal="center" vertical="center"/>
    </xf>
    <xf numFmtId="1" fontId="4" fillId="8" borderId="34" xfId="0" applyNumberFormat="1" applyFont="1" applyFill="1" applyBorder="1" applyAlignment="1" applyProtection="1">
      <alignment horizontal="center"/>
      <protection locked="0"/>
    </xf>
    <xf numFmtId="1" fontId="4" fillId="8" borderId="27" xfId="0" applyNumberFormat="1" applyFont="1" applyFill="1" applyBorder="1" applyAlignment="1" applyProtection="1">
      <alignment horizontal="center"/>
      <protection locked="0"/>
    </xf>
    <xf numFmtId="0" fontId="4" fillId="0" borderId="43" xfId="0" applyFont="1" applyBorder="1" applyAlignment="1" applyProtection="1">
      <alignment horizontal="right" vertical="center" wrapText="1"/>
    </xf>
    <xf numFmtId="0" fontId="4" fillId="0" borderId="15" xfId="0" applyFont="1" applyBorder="1" applyAlignment="1" applyProtection="1">
      <alignment horizontal="right" vertical="center" wrapText="1"/>
    </xf>
    <xf numFmtId="0" fontId="4" fillId="0" borderId="44" xfId="0" applyFont="1" applyBorder="1" applyAlignment="1" applyProtection="1">
      <alignment horizontal="right" vertical="center" wrapText="1"/>
    </xf>
    <xf numFmtId="0" fontId="4" fillId="8" borderId="34" xfId="0" applyFont="1" applyFill="1" applyBorder="1" applyAlignment="1" applyProtection="1">
      <alignment horizontal="center"/>
      <protection locked="0"/>
    </xf>
    <xf numFmtId="0" fontId="4" fillId="8" borderId="27" xfId="0" applyFont="1" applyFill="1" applyBorder="1" applyAlignment="1" applyProtection="1">
      <alignment horizontal="center"/>
      <protection locked="0"/>
    </xf>
    <xf numFmtId="2" fontId="3" fillId="0" borderId="3" xfId="0" applyNumberFormat="1" applyFont="1" applyBorder="1" applyAlignment="1" applyProtection="1">
      <alignment horizontal="center"/>
      <protection hidden="1"/>
    </xf>
    <xf numFmtId="0" fontId="3" fillId="0" borderId="21" xfId="0" applyFont="1" applyBorder="1" applyAlignment="1" applyProtection="1">
      <alignment horizontal="left" wrapText="1"/>
      <protection hidden="1"/>
    </xf>
    <xf numFmtId="0" fontId="3" fillId="13" borderId="59" xfId="0" applyFont="1" applyFill="1" applyBorder="1" applyAlignment="1" applyProtection="1">
      <alignment horizontal="left" vertical="top" wrapText="1"/>
      <protection hidden="1"/>
    </xf>
    <xf numFmtId="0" fontId="0" fillId="13" borderId="60" xfId="0" applyFill="1" applyBorder="1" applyAlignment="1">
      <alignment horizontal="left" vertical="top" wrapText="1"/>
    </xf>
    <xf numFmtId="0" fontId="0" fillId="13" borderId="31" xfId="0" applyFill="1" applyBorder="1" applyAlignment="1">
      <alignment horizontal="left" vertical="top" wrapText="1"/>
    </xf>
    <xf numFmtId="2" fontId="3" fillId="0" borderId="0" xfId="0" applyNumberFormat="1" applyFont="1" applyAlignment="1" applyProtection="1">
      <alignment wrapText="1"/>
      <protection hidden="1"/>
    </xf>
    <xf numFmtId="0" fontId="3" fillId="0" borderId="3" xfId="0" applyFont="1" applyBorder="1" applyAlignment="1" applyProtection="1">
      <alignment horizontal="left" wrapText="1"/>
      <protection hidden="1"/>
    </xf>
    <xf numFmtId="0" fontId="7" fillId="0" borderId="3" xfId="0" applyFont="1" applyBorder="1" applyAlignment="1" applyProtection="1">
      <alignment horizontal="left"/>
      <protection hidden="1"/>
    </xf>
    <xf numFmtId="0" fontId="3" fillId="0" borderId="17" xfId="0" applyFont="1" applyFill="1" applyBorder="1" applyAlignment="1" applyProtection="1">
      <alignment horizontal="left" wrapText="1"/>
      <protection hidden="1"/>
    </xf>
    <xf numFmtId="0" fontId="7" fillId="0" borderId="3" xfId="0" applyFont="1" applyBorder="1" applyAlignment="1" applyProtection="1">
      <alignment horizontal="left" wrapText="1"/>
      <protection hidden="1"/>
    </xf>
    <xf numFmtId="2" fontId="3" fillId="0" borderId="17" xfId="0" applyNumberFormat="1" applyFont="1" applyFill="1" applyBorder="1" applyAlignment="1" applyProtection="1">
      <alignment horizontal="left" vertical="center" wrapText="1"/>
      <protection hidden="1"/>
    </xf>
    <xf numFmtId="2" fontId="3" fillId="0" borderId="3" xfId="0" applyNumberFormat="1" applyFont="1" applyFill="1" applyBorder="1" applyAlignment="1" applyProtection="1">
      <alignment horizontal="left" vertical="center" wrapText="1"/>
      <protection hidden="1"/>
    </xf>
    <xf numFmtId="2" fontId="3" fillId="0" borderId="45" xfId="0" applyNumberFormat="1" applyFont="1" applyFill="1" applyBorder="1" applyAlignment="1" applyProtection="1">
      <alignment horizontal="left" vertical="center" wrapText="1"/>
      <protection hidden="1"/>
    </xf>
    <xf numFmtId="2" fontId="3" fillId="0" borderId="30" xfId="0" applyNumberFormat="1" applyFont="1" applyFill="1" applyBorder="1" applyAlignment="1" applyProtection="1">
      <alignment vertical="center" wrapText="1"/>
      <protection hidden="1"/>
    </xf>
    <xf numFmtId="0" fontId="1" fillId="0" borderId="3" xfId="0" applyFont="1" applyBorder="1" applyAlignment="1" applyProtection="1">
      <alignment horizontal="left" wrapText="1"/>
      <protection hidden="1"/>
    </xf>
    <xf numFmtId="0" fontId="3" fillId="0" borderId="2" xfId="0" applyFont="1" applyBorder="1" applyAlignment="1">
      <alignment horizontal="center" wrapText="1"/>
    </xf>
    <xf numFmtId="0" fontId="3" fillId="8" borderId="2" xfId="0" applyNumberFormat="1" applyFont="1" applyFill="1" applyBorder="1" applyAlignment="1" applyProtection="1">
      <alignment horizontal="center" vertical="center"/>
      <protection locked="0"/>
    </xf>
    <xf numFmtId="0" fontId="7" fillId="8" borderId="2" xfId="0" applyNumberFormat="1" applyFont="1" applyFill="1" applyBorder="1" applyAlignment="1" applyProtection="1">
      <alignment horizontal="center" vertical="center"/>
      <protection locked="0"/>
    </xf>
    <xf numFmtId="0" fontId="3" fillId="8" borderId="2" xfId="4" applyNumberFormat="1" applyFont="1" applyFill="1" applyBorder="1" applyAlignment="1" applyProtection="1">
      <alignment horizontal="center" vertical="center"/>
      <protection locked="0"/>
    </xf>
    <xf numFmtId="0" fontId="7" fillId="8" borderId="2" xfId="4" applyNumberFormat="1" applyFont="1" applyFill="1" applyBorder="1" applyAlignment="1" applyProtection="1">
      <alignment horizontal="center" vertical="center"/>
      <protection locked="0"/>
    </xf>
    <xf numFmtId="0" fontId="19" fillId="0" borderId="2" xfId="2" applyFont="1" applyBorder="1" applyAlignment="1" applyProtection="1">
      <alignment horizontal="center"/>
    </xf>
    <xf numFmtId="0" fontId="3" fillId="0" borderId="34" xfId="0" applyFont="1" applyBorder="1" applyAlignment="1">
      <alignment horizontal="left" vertical="center" wrapText="1"/>
    </xf>
    <xf numFmtId="0" fontId="0" fillId="0" borderId="3" xfId="0" applyBorder="1" applyAlignment="1">
      <alignment horizontal="left" vertical="center" wrapText="1"/>
    </xf>
    <xf numFmtId="0" fontId="0" fillId="0" borderId="27" xfId="0" applyBorder="1" applyAlignment="1">
      <alignment horizontal="left" vertical="center" wrapText="1"/>
    </xf>
    <xf numFmtId="0" fontId="3" fillId="0" borderId="34" xfId="0" applyFont="1" applyBorder="1" applyAlignment="1">
      <alignment horizontal="center" wrapText="1"/>
    </xf>
    <xf numFmtId="0" fontId="3" fillId="0" borderId="3" xfId="0" applyFont="1" applyBorder="1" applyAlignment="1">
      <alignment horizontal="center" wrapText="1"/>
    </xf>
    <xf numFmtId="0" fontId="3" fillId="0" borderId="27" xfId="0" applyFont="1" applyBorder="1" applyAlignment="1">
      <alignment horizontal="center" wrapText="1"/>
    </xf>
    <xf numFmtId="0" fontId="3" fillId="0" borderId="34" xfId="0" applyFont="1" applyBorder="1" applyAlignment="1">
      <alignment horizontal="left" wrapText="1"/>
    </xf>
    <xf numFmtId="0" fontId="3" fillId="0" borderId="3" xfId="0" applyFont="1" applyBorder="1" applyAlignment="1">
      <alignment horizontal="left" wrapText="1"/>
    </xf>
    <xf numFmtId="0" fontId="3" fillId="0" borderId="27"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4" fillId="0" borderId="2" xfId="0" applyFont="1" applyBorder="1" applyAlignment="1">
      <alignment horizontal="center" wrapText="1"/>
    </xf>
    <xf numFmtId="0" fontId="3" fillId="0" borderId="35" xfId="0" applyFont="1" applyBorder="1" applyAlignment="1">
      <alignment horizontal="left" vertical="center" wrapText="1"/>
    </xf>
    <xf numFmtId="0" fontId="3" fillId="0" borderId="13" xfId="0" applyFont="1" applyBorder="1" applyAlignment="1">
      <alignment horizontal="left" vertical="center" wrapText="1"/>
    </xf>
    <xf numFmtId="0" fontId="3" fillId="0" borderId="53" xfId="0" applyFont="1" applyBorder="1" applyAlignment="1">
      <alignment horizontal="left" vertical="center" wrapText="1"/>
    </xf>
    <xf numFmtId="0" fontId="3" fillId="0" borderId="17" xfId="0" applyFont="1" applyBorder="1" applyAlignment="1" applyProtection="1">
      <alignment horizontal="left" vertical="center" wrapText="1"/>
      <protection hidden="1"/>
    </xf>
    <xf numFmtId="0" fontId="3" fillId="0" borderId="0" xfId="0" applyFont="1" applyAlignment="1" applyProtection="1">
      <alignment wrapText="1"/>
      <protection hidden="1"/>
    </xf>
    <xf numFmtId="0" fontId="4" fillId="0" borderId="15" xfId="0" applyFont="1" applyBorder="1" applyAlignment="1" applyProtection="1">
      <alignment horizontal="center" wrapText="1"/>
      <protection hidden="1"/>
    </xf>
    <xf numFmtId="0" fontId="3" fillId="0" borderId="15" xfId="0" applyFont="1" applyBorder="1" applyAlignment="1" applyProtection="1">
      <alignment horizontal="center" wrapText="1"/>
      <protection hidden="1"/>
    </xf>
    <xf numFmtId="0" fontId="3" fillId="0" borderId="54" xfId="0" applyFont="1" applyBorder="1" applyAlignment="1" applyProtection="1">
      <alignment horizontal="left" wrapText="1"/>
      <protection hidden="1"/>
    </xf>
    <xf numFmtId="0" fontId="3" fillId="0" borderId="45" xfId="0" applyFont="1" applyBorder="1" applyAlignment="1" applyProtection="1">
      <alignment horizontal="left" wrapText="1"/>
      <protection hidden="1"/>
    </xf>
    <xf numFmtId="0" fontId="3" fillId="0" borderId="59" xfId="0" applyFont="1" applyBorder="1" applyAlignment="1" applyProtection="1">
      <alignment horizontal="left" vertical="center" wrapText="1"/>
      <protection hidden="1"/>
    </xf>
    <xf numFmtId="0" fontId="3" fillId="0" borderId="60" xfId="0" applyFont="1" applyBorder="1" applyAlignment="1" applyProtection="1">
      <alignment horizontal="left" vertical="center" wrapText="1"/>
      <protection hidden="1"/>
    </xf>
    <xf numFmtId="0" fontId="3" fillId="0" borderId="31" xfId="0" applyFont="1" applyBorder="1" applyAlignment="1" applyProtection="1">
      <alignment horizontal="left" vertical="center" wrapText="1"/>
      <protection hidden="1"/>
    </xf>
    <xf numFmtId="0" fontId="2" fillId="0" borderId="2" xfId="2" applyBorder="1" applyAlignment="1" applyProtection="1">
      <alignment horizontal="center"/>
    </xf>
    <xf numFmtId="0" fontId="3" fillId="0" borderId="0" xfId="0" applyFont="1" applyAlignment="1" applyProtection="1">
      <alignment wrapText="1"/>
    </xf>
    <xf numFmtId="0" fontId="4" fillId="0" borderId="15" xfId="0" applyFont="1" applyBorder="1" applyAlignment="1" applyProtection="1">
      <alignment horizontal="center" wrapText="1"/>
    </xf>
    <xf numFmtId="0" fontId="3" fillId="0" borderId="15" xfId="0" applyFont="1" applyBorder="1" applyAlignment="1" applyProtection="1">
      <alignment horizontal="center" wrapText="1"/>
    </xf>
    <xf numFmtId="0" fontId="3" fillId="0" borderId="16" xfId="0" applyFont="1" applyBorder="1" applyAlignment="1" applyProtection="1">
      <alignment horizont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53"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0" fontId="3" fillId="0" borderId="0" xfId="0" applyFont="1" applyAlignment="1" applyProtection="1">
      <alignment horizontal="left" wrapText="1"/>
    </xf>
    <xf numFmtId="0" fontId="4" fillId="0" borderId="2" xfId="0" applyFont="1" applyBorder="1" applyAlignment="1" applyProtection="1">
      <alignment horizontal="center" wrapText="1"/>
    </xf>
    <xf numFmtId="0" fontId="3" fillId="0" borderId="2" xfId="0" applyFont="1" applyBorder="1" applyAlignment="1" applyProtection="1">
      <alignment horizontal="center" wrapText="1"/>
    </xf>
    <xf numFmtId="0" fontId="3" fillId="0" borderId="2" xfId="0" applyFont="1" applyBorder="1" applyAlignment="1" applyProtection="1">
      <alignment horizontal="left" vertical="center" wrapText="1"/>
    </xf>
    <xf numFmtId="0" fontId="3" fillId="0" borderId="34" xfId="0" applyFont="1" applyBorder="1" applyAlignment="1" applyProtection="1">
      <alignment horizontal="left" vertical="center" wrapText="1"/>
    </xf>
    <xf numFmtId="49" fontId="3" fillId="0" borderId="2" xfId="0" applyNumberFormat="1" applyFont="1" applyBorder="1" applyAlignment="1" applyProtection="1">
      <alignment horizontal="center" vertical="top" wrapText="1"/>
    </xf>
    <xf numFmtId="0" fontId="3" fillId="0" borderId="0" xfId="0" applyFont="1" applyBorder="1" applyAlignment="1" applyProtection="1">
      <alignment horizontal="left" wrapText="1"/>
    </xf>
    <xf numFmtId="165" fontId="3" fillId="8" borderId="2" xfId="0" applyNumberFormat="1" applyFont="1" applyFill="1" applyBorder="1" applyAlignment="1" applyProtection="1">
      <alignment horizontal="center" vertical="center"/>
      <protection locked="0"/>
    </xf>
    <xf numFmtId="165" fontId="0" fillId="8" borderId="2" xfId="0" applyNumberFormat="1" applyFill="1" applyBorder="1" applyAlignment="1" applyProtection="1">
      <alignment horizontal="center" vertical="center"/>
      <protection locked="0"/>
    </xf>
    <xf numFmtId="0" fontId="4" fillId="0" borderId="0" xfId="0" applyFont="1" applyBorder="1" applyAlignment="1">
      <alignment horizontal="center" wrapText="1"/>
    </xf>
    <xf numFmtId="0" fontId="3" fillId="0" borderId="0" xfId="0" applyFont="1" applyBorder="1" applyAlignment="1">
      <alignment horizontal="left" wrapText="1"/>
    </xf>
    <xf numFmtId="0" fontId="3" fillId="0" borderId="17" xfId="0" applyFont="1" applyBorder="1" applyAlignment="1">
      <alignment horizontal="left" vertical="center" wrapText="1"/>
    </xf>
    <xf numFmtId="0" fontId="29" fillId="0" borderId="6" xfId="0" applyFont="1" applyBorder="1" applyAlignment="1">
      <alignment horizontal="center" wrapText="1"/>
    </xf>
    <xf numFmtId="0" fontId="23" fillId="0" borderId="0" xfId="0" applyFont="1" applyBorder="1" applyAlignment="1">
      <alignment horizontal="left" wrapText="1"/>
    </xf>
    <xf numFmtId="0" fontId="23" fillId="0" borderId="2" xfId="0" applyFont="1" applyBorder="1" applyAlignment="1">
      <alignment horizontal="left" vertical="center" wrapText="1"/>
    </xf>
    <xf numFmtId="0" fontId="23" fillId="0" borderId="0" xfId="0" applyFont="1" applyAlignment="1">
      <alignment wrapText="1"/>
    </xf>
    <xf numFmtId="0" fontId="25" fillId="0" borderId="15" xfId="0" applyFont="1" applyBorder="1" applyAlignment="1">
      <alignment horizontal="center" wrapText="1"/>
    </xf>
    <xf numFmtId="0" fontId="23" fillId="0" borderId="15" xfId="0" applyFont="1" applyBorder="1" applyAlignment="1">
      <alignment horizontal="center" wrapText="1"/>
    </xf>
    <xf numFmtId="0" fontId="23" fillId="0" borderId="16" xfId="0" applyFont="1" applyBorder="1" applyAlignment="1">
      <alignment horizontal="center" wrapText="1"/>
    </xf>
    <xf numFmtId="0" fontId="23" fillId="0" borderId="54" xfId="0" applyFont="1" applyBorder="1" applyAlignment="1">
      <alignment horizontal="left" vertical="center" wrapText="1"/>
    </xf>
    <xf numFmtId="0" fontId="23" fillId="0" borderId="45" xfId="0" applyFont="1" applyBorder="1" applyAlignment="1">
      <alignment horizontal="left" vertical="center" wrapText="1"/>
    </xf>
    <xf numFmtId="0" fontId="23" fillId="0" borderId="30" xfId="0" applyFont="1" applyBorder="1" applyAlignment="1">
      <alignment horizontal="left" vertical="center" wrapText="1"/>
    </xf>
    <xf numFmtId="0" fontId="23" fillId="0" borderId="3" xfId="0" applyFont="1" applyBorder="1" applyAlignment="1">
      <alignment horizontal="left" wrapText="1"/>
    </xf>
    <xf numFmtId="0" fontId="23" fillId="0" borderId="27" xfId="0" applyFont="1" applyBorder="1" applyAlignment="1">
      <alignment horizontal="left" wrapText="1"/>
    </xf>
    <xf numFmtId="0" fontId="23" fillId="0" borderId="21" xfId="0" applyFont="1" applyBorder="1" applyAlignment="1">
      <alignment horizontal="left" wrapText="1"/>
    </xf>
    <xf numFmtId="0" fontId="33" fillId="0" borderId="0" xfId="0" applyFont="1" applyAlignment="1">
      <alignment horizontal="center"/>
    </xf>
  </cellXfs>
  <cellStyles count="5">
    <cellStyle name="Comma" xfId="1" builtinId="3"/>
    <cellStyle name="Hyperlink" xfId="2" builtinId="8"/>
    <cellStyle name="Normal" xfId="0" builtinId="0"/>
    <cellStyle name="Normal 2" xfId="3"/>
    <cellStyle name="Percent" xfId="4" builtinId="5"/>
  </cellStyles>
  <dxfs count="2">
    <dxf>
      <font>
        <b val="0"/>
        <i val="0"/>
        <condense val="0"/>
        <extend val="0"/>
        <color auto="1"/>
      </font>
      <fill>
        <patternFill>
          <bgColor indexed="42"/>
        </patternFill>
      </fill>
      <border>
        <left style="thin">
          <color indexed="13"/>
        </left>
        <right style="thin">
          <color indexed="13"/>
        </right>
        <top style="thin">
          <color indexed="13"/>
        </top>
        <bottom style="thin">
          <color indexed="13"/>
        </bottom>
      </border>
    </dxf>
    <dxf>
      <font>
        <b val="0"/>
        <i val="0"/>
        <condense val="0"/>
        <extend val="0"/>
        <u/>
        <color indexed="9"/>
      </font>
      <fill>
        <patternFill>
          <fgColor indexed="10"/>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K$6" lockText="1" noThreeD="1"/>
</file>

<file path=xl/ctrlProps/ctrlProp10.xml><?xml version="1.0" encoding="utf-8"?>
<formControlPr xmlns="http://schemas.microsoft.com/office/spreadsheetml/2009/9/main" objectType="Radio" firstButton="1" fmlaLink="$K$9"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I$6"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I$7"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K$7" lockText="1" noThreeD="1"/>
</file>

<file path=xl/ctrlProps/ctrlProp20.xml><?xml version="1.0" encoding="utf-8"?>
<formControlPr xmlns="http://schemas.microsoft.com/office/spreadsheetml/2009/9/main" objectType="Radio" firstButton="1" fmlaLink="$I$8"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Radio" firstButton="1" fmlaLink="$I$7" lockText="1" noThreeD="1"/>
</file>

<file path=xl/ctrlProps/ctrlProp23.xml><?xml version="1.0" encoding="utf-8"?>
<formControlPr xmlns="http://schemas.microsoft.com/office/spreadsheetml/2009/9/main" objectType="Radio" checked="Checked"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I$8"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I$9"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K$8"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I$7"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firstButton="1" fmlaLink="$I$8"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I$9"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firstButton="1" fmlaLink="$I$10"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J$7"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J$8"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lockText="1" noThreeD="1"/>
</file>

<file path=xl/ctrlProps/ctrlProp50.xml><?xml version="1.0" encoding="utf-8"?>
<formControlPr xmlns="http://schemas.microsoft.com/office/spreadsheetml/2009/9/main" objectType="Radio" firstButton="1" fmlaLink="$J$8" lockText="1" noThreeD="1"/>
</file>

<file path=xl/ctrlProps/ctrlProp51.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8</xdr:col>
          <xdr:colOff>0</xdr:colOff>
          <xdr:row>6</xdr:row>
          <xdr:rowOff>0</xdr:rowOff>
        </xdr:to>
        <xdr:sp macro="" textlink="">
          <xdr:nvSpPr>
            <xdr:cNvPr id="4097" name="Option 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66675</xdr:rowOff>
        </xdr:from>
        <xdr:to>
          <xdr:col>8</xdr:col>
          <xdr:colOff>0</xdr:colOff>
          <xdr:row>6</xdr:row>
          <xdr:rowOff>485775</xdr:rowOff>
        </xdr:to>
        <xdr:sp macro="" textlink="">
          <xdr:nvSpPr>
            <xdr:cNvPr id="4098" name="Option Button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8</xdr:col>
          <xdr:colOff>0</xdr:colOff>
          <xdr:row>7</xdr:row>
          <xdr:rowOff>419100</xdr:rowOff>
        </xdr:to>
        <xdr:sp macro="" textlink="">
          <xdr:nvSpPr>
            <xdr:cNvPr id="4099" name="Option Button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9525</xdr:rowOff>
        </xdr:from>
        <xdr:to>
          <xdr:col>9</xdr:col>
          <xdr:colOff>0</xdr:colOff>
          <xdr:row>5</xdr:row>
          <xdr:rowOff>409575</xdr:rowOff>
        </xdr:to>
        <xdr:sp macro="" textlink="">
          <xdr:nvSpPr>
            <xdr:cNvPr id="4100" name="Option Button 4" hidden="1">
              <a:extLst>
                <a:ext uri="{63B3BB69-23CF-44E3-9099-C40C66FF867C}">
                  <a14:compatExt spid="_x0000_s41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85725</xdr:rowOff>
        </xdr:from>
        <xdr:to>
          <xdr:col>9</xdr:col>
          <xdr:colOff>0</xdr:colOff>
          <xdr:row>6</xdr:row>
          <xdr:rowOff>485775</xdr:rowOff>
        </xdr:to>
        <xdr:sp macro="" textlink="">
          <xdr:nvSpPr>
            <xdr:cNvPr id="4101" name="Option Button 5" hidden="1">
              <a:extLst>
                <a:ext uri="{63B3BB69-23CF-44E3-9099-C40C66FF867C}">
                  <a14:compatExt spid="_x0000_s41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7</xdr:row>
          <xdr:rowOff>409575</xdr:rowOff>
        </xdr:to>
        <xdr:sp macro="" textlink="">
          <xdr:nvSpPr>
            <xdr:cNvPr id="4102" name="Option Button 6" hidden="1">
              <a:extLst>
                <a:ext uri="{63B3BB69-23CF-44E3-9099-C40C66FF867C}">
                  <a14:compatExt spid="_x0000_s41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9</xdr:col>
          <xdr:colOff>0</xdr:colOff>
          <xdr:row>6</xdr:row>
          <xdr:rowOff>0</xdr:rowOff>
        </xdr:to>
        <xdr:sp macro="" textlink="">
          <xdr:nvSpPr>
            <xdr:cNvPr id="4103" name="Group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9</xdr:col>
          <xdr:colOff>0</xdr:colOff>
          <xdr:row>7</xdr:row>
          <xdr:rowOff>0</xdr:rowOff>
        </xdr:to>
        <xdr:sp macro="" textlink="">
          <xdr:nvSpPr>
            <xdr:cNvPr id="4105" name="Group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9</xdr:col>
          <xdr:colOff>0</xdr:colOff>
          <xdr:row>7</xdr:row>
          <xdr:rowOff>619125</xdr:rowOff>
        </xdr:to>
        <xdr:sp macro="" textlink="">
          <xdr:nvSpPr>
            <xdr:cNvPr id="4106" name="Group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xdr:row>
          <xdr:rowOff>38100</xdr:rowOff>
        </xdr:from>
        <xdr:to>
          <xdr:col>7</xdr:col>
          <xdr:colOff>590550</xdr:colOff>
          <xdr:row>8</xdr:row>
          <xdr:rowOff>419100</xdr:rowOff>
        </xdr:to>
        <xdr:sp macro="" textlink="">
          <xdr:nvSpPr>
            <xdr:cNvPr id="4107" name="Option Button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47625</xdr:rowOff>
        </xdr:from>
        <xdr:to>
          <xdr:col>8</xdr:col>
          <xdr:colOff>552450</xdr:colOff>
          <xdr:row>8</xdr:row>
          <xdr:rowOff>400050</xdr:rowOff>
        </xdr:to>
        <xdr:sp macro="" textlink="">
          <xdr:nvSpPr>
            <xdr:cNvPr id="4108" name="Option Button 12" hidden="1">
              <a:extLst>
                <a:ext uri="{63B3BB69-23CF-44E3-9099-C40C66FF867C}">
                  <a14:compatExt spid="_x0000_s41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1819275</xdr:colOff>
          <xdr:row>8</xdr:row>
          <xdr:rowOff>0</xdr:rowOff>
        </xdr:from>
        <xdr:to>
          <xdr:col>8</xdr:col>
          <xdr:colOff>600075</xdr:colOff>
          <xdr:row>8</xdr:row>
          <xdr:rowOff>504825</xdr:rowOff>
        </xdr:to>
        <xdr:sp macro="" textlink="">
          <xdr:nvSpPr>
            <xdr:cNvPr id="4109" name="Group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7</xdr:col>
          <xdr:colOff>0</xdr:colOff>
          <xdr:row>6</xdr:row>
          <xdr:rowOff>0</xdr:rowOff>
        </xdr:to>
        <xdr:sp macro="" textlink="">
          <xdr:nvSpPr>
            <xdr:cNvPr id="5133" name="Group Box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5</xdr:row>
          <xdr:rowOff>85725</xdr:rowOff>
        </xdr:from>
        <xdr:to>
          <xdr:col>6</xdr:col>
          <xdr:colOff>800100</xdr:colOff>
          <xdr:row>5</xdr:row>
          <xdr:rowOff>323850</xdr:rowOff>
        </xdr:to>
        <xdr:sp macro="" textlink="">
          <xdr:nvSpPr>
            <xdr:cNvPr id="5134" name="Option Button 14" hidden="1">
              <a:extLst>
                <a:ext uri="{63B3BB69-23CF-44E3-9099-C40C66FF867C}">
                  <a14:compatExt spid="_x0000_s51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5</xdr:row>
          <xdr:rowOff>85725</xdr:rowOff>
        </xdr:from>
        <xdr:to>
          <xdr:col>6</xdr:col>
          <xdr:colOff>1466850</xdr:colOff>
          <xdr:row>5</xdr:row>
          <xdr:rowOff>304800</xdr:rowOff>
        </xdr:to>
        <xdr:sp macro="" textlink="">
          <xdr:nvSpPr>
            <xdr:cNvPr id="5135" name="Option Button 15" hidden="1">
              <a:extLst>
                <a:ext uri="{63B3BB69-23CF-44E3-9099-C40C66FF867C}">
                  <a14:compatExt spid="_x0000_s51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7</xdr:col>
          <xdr:colOff>0</xdr:colOff>
          <xdr:row>7</xdr:row>
          <xdr:rowOff>0</xdr:rowOff>
        </xdr:to>
        <xdr:sp macro="" textlink="">
          <xdr:nvSpPr>
            <xdr:cNvPr id="5136" name="Group Box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xdr:row>
          <xdr:rowOff>314325</xdr:rowOff>
        </xdr:from>
        <xdr:to>
          <xdr:col>6</xdr:col>
          <xdr:colOff>723900</xdr:colOff>
          <xdr:row>6</xdr:row>
          <xdr:rowOff>581025</xdr:rowOff>
        </xdr:to>
        <xdr:sp macro="" textlink="">
          <xdr:nvSpPr>
            <xdr:cNvPr id="5137" name="Option Button 17" hidden="1">
              <a:extLst>
                <a:ext uri="{63B3BB69-23CF-44E3-9099-C40C66FF867C}">
                  <a14:compatExt spid="_x0000_s51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6</xdr:row>
          <xdr:rowOff>295275</xdr:rowOff>
        </xdr:from>
        <xdr:to>
          <xdr:col>6</xdr:col>
          <xdr:colOff>1457325</xdr:colOff>
          <xdr:row>6</xdr:row>
          <xdr:rowOff>600075</xdr:rowOff>
        </xdr:to>
        <xdr:sp macro="" textlink="">
          <xdr:nvSpPr>
            <xdr:cNvPr id="5138" name="Option Button 18" hidden="1">
              <a:extLst>
                <a:ext uri="{63B3BB69-23CF-44E3-9099-C40C66FF867C}">
                  <a14:compatExt spid="_x0000_s51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0</xdr:colOff>
          <xdr:row>8</xdr:row>
          <xdr:rowOff>0</xdr:rowOff>
        </xdr:to>
        <xdr:sp macro="" textlink="">
          <xdr:nvSpPr>
            <xdr:cNvPr id="5139" name="Group Box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xdr:row>
          <xdr:rowOff>161925</xdr:rowOff>
        </xdr:from>
        <xdr:to>
          <xdr:col>6</xdr:col>
          <xdr:colOff>800100</xdr:colOff>
          <xdr:row>7</xdr:row>
          <xdr:rowOff>381000</xdr:rowOff>
        </xdr:to>
        <xdr:sp macro="" textlink="">
          <xdr:nvSpPr>
            <xdr:cNvPr id="5140" name="Option Button 20" hidden="1">
              <a:extLst>
                <a:ext uri="{63B3BB69-23CF-44E3-9099-C40C66FF867C}">
                  <a14:compatExt spid="_x0000_s51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7</xdr:row>
          <xdr:rowOff>152400</xdr:rowOff>
        </xdr:from>
        <xdr:to>
          <xdr:col>6</xdr:col>
          <xdr:colOff>1495425</xdr:colOff>
          <xdr:row>7</xdr:row>
          <xdr:rowOff>371475</xdr:rowOff>
        </xdr:to>
        <xdr:sp macro="" textlink="">
          <xdr:nvSpPr>
            <xdr:cNvPr id="5141" name="Option Button 21" hidden="1">
              <a:extLst>
                <a:ext uri="{63B3BB69-23CF-44E3-9099-C40C66FF867C}">
                  <a14:compatExt spid="_x0000_s51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6</xdr:row>
          <xdr:rowOff>228600</xdr:rowOff>
        </xdr:from>
        <xdr:to>
          <xdr:col>6</xdr:col>
          <xdr:colOff>638175</xdr:colOff>
          <xdr:row>6</xdr:row>
          <xdr:rowOff>447675</xdr:rowOff>
        </xdr:to>
        <xdr:sp macro="" textlink="">
          <xdr:nvSpPr>
            <xdr:cNvPr id="10248" name="Option Button 8" hidden="1">
              <a:extLst>
                <a:ext uri="{63B3BB69-23CF-44E3-9099-C40C66FF867C}">
                  <a14:compatExt spid="_x0000_s102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6</xdr:row>
          <xdr:rowOff>228600</xdr:rowOff>
        </xdr:from>
        <xdr:to>
          <xdr:col>6</xdr:col>
          <xdr:colOff>1685925</xdr:colOff>
          <xdr:row>6</xdr:row>
          <xdr:rowOff>447675</xdr:rowOff>
        </xdr:to>
        <xdr:sp macro="" textlink="">
          <xdr:nvSpPr>
            <xdr:cNvPr id="10249" name="Option Button 9" hidden="1">
              <a:extLst>
                <a:ext uri="{63B3BB69-23CF-44E3-9099-C40C66FF867C}">
                  <a14:compatExt spid="_x0000_s102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0</xdr:colOff>
          <xdr:row>7</xdr:row>
          <xdr:rowOff>0</xdr:rowOff>
        </xdr:to>
        <xdr:sp macro="" textlink="">
          <xdr:nvSpPr>
            <xdr:cNvPr id="10250" name="Group Box 10" hidden="1">
              <a:extLst>
                <a:ext uri="{63B3BB69-23CF-44E3-9099-C40C66FF867C}">
                  <a14:compatExt spid="_x0000_s1025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161925</xdr:rowOff>
        </xdr:from>
        <xdr:to>
          <xdr:col>6</xdr:col>
          <xdr:colOff>771525</xdr:colOff>
          <xdr:row>7</xdr:row>
          <xdr:rowOff>523875</xdr:rowOff>
        </xdr:to>
        <xdr:sp macro="" textlink="">
          <xdr:nvSpPr>
            <xdr:cNvPr id="10251" name="Option Button 11" hidden="1">
              <a:extLst>
                <a:ext uri="{63B3BB69-23CF-44E3-9099-C40C66FF867C}">
                  <a14:compatExt spid="_x0000_s102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1209675</xdr:colOff>
          <xdr:row>7</xdr:row>
          <xdr:rowOff>180975</xdr:rowOff>
        </xdr:from>
        <xdr:to>
          <xdr:col>6</xdr:col>
          <xdr:colOff>1771650</xdr:colOff>
          <xdr:row>7</xdr:row>
          <xdr:rowOff>514350</xdr:rowOff>
        </xdr:to>
        <xdr:sp macro="" textlink="">
          <xdr:nvSpPr>
            <xdr:cNvPr id="10252" name="Option Button 12" hidden="1">
              <a:extLst>
                <a:ext uri="{63B3BB69-23CF-44E3-9099-C40C66FF867C}">
                  <a14:compatExt spid="_x0000_s102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0</xdr:colOff>
          <xdr:row>8</xdr:row>
          <xdr:rowOff>0</xdr:rowOff>
        </xdr:to>
        <xdr:sp macro="" textlink="">
          <xdr:nvSpPr>
            <xdr:cNvPr id="10254" name="Group Box 14" hidden="1">
              <a:extLst>
                <a:ext uri="{63B3BB69-23CF-44E3-9099-C40C66FF867C}">
                  <a14:compatExt spid="_x0000_s1025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xdr:row>
          <xdr:rowOff>238125</xdr:rowOff>
        </xdr:from>
        <xdr:to>
          <xdr:col>6</xdr:col>
          <xdr:colOff>771525</xdr:colOff>
          <xdr:row>8</xdr:row>
          <xdr:rowOff>514350</xdr:rowOff>
        </xdr:to>
        <xdr:sp macro="" textlink="">
          <xdr:nvSpPr>
            <xdr:cNvPr id="10255" name="Option Button 15" hidden="1">
              <a:extLst>
                <a:ext uri="{63B3BB69-23CF-44E3-9099-C40C66FF867C}">
                  <a14:compatExt spid="_x0000_s102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1228725</xdr:colOff>
          <xdr:row>8</xdr:row>
          <xdr:rowOff>228600</xdr:rowOff>
        </xdr:from>
        <xdr:to>
          <xdr:col>6</xdr:col>
          <xdr:colOff>1771650</xdr:colOff>
          <xdr:row>8</xdr:row>
          <xdr:rowOff>533400</xdr:rowOff>
        </xdr:to>
        <xdr:sp macro="" textlink="">
          <xdr:nvSpPr>
            <xdr:cNvPr id="10256" name="Option Button 16" hidden="1">
              <a:extLst>
                <a:ext uri="{63B3BB69-23CF-44E3-9099-C40C66FF867C}">
                  <a14:compatExt spid="_x0000_s102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9</xdr:row>
          <xdr:rowOff>0</xdr:rowOff>
        </xdr:to>
        <xdr:sp macro="" textlink="">
          <xdr:nvSpPr>
            <xdr:cNvPr id="10257" name="Group Box 17" hidden="1">
              <a:extLst>
                <a:ext uri="{63B3BB69-23CF-44E3-9099-C40C66FF867C}">
                  <a14:compatExt spid="_x0000_s10257"/>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6</xdr:row>
          <xdr:rowOff>219075</xdr:rowOff>
        </xdr:from>
        <xdr:to>
          <xdr:col>6</xdr:col>
          <xdr:colOff>838200</xdr:colOff>
          <xdr:row>6</xdr:row>
          <xdr:rowOff>647700</xdr:rowOff>
        </xdr:to>
        <xdr:sp macro="" textlink="">
          <xdr:nvSpPr>
            <xdr:cNvPr id="6145" name="Option 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6</xdr:row>
          <xdr:rowOff>219075</xdr:rowOff>
        </xdr:from>
        <xdr:to>
          <xdr:col>6</xdr:col>
          <xdr:colOff>1733550</xdr:colOff>
          <xdr:row>6</xdr:row>
          <xdr:rowOff>647700</xdr:rowOff>
        </xdr:to>
        <xdr:sp macro="" textlink="">
          <xdr:nvSpPr>
            <xdr:cNvPr id="6146" name="Option Button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xdr:row>
          <xdr:rowOff>9525</xdr:rowOff>
        </xdr:from>
        <xdr:to>
          <xdr:col>6</xdr:col>
          <xdr:colOff>838200</xdr:colOff>
          <xdr:row>7</xdr:row>
          <xdr:rowOff>438150</xdr:rowOff>
        </xdr:to>
        <xdr:sp macro="" textlink="">
          <xdr:nvSpPr>
            <xdr:cNvPr id="6147" name="Option Button 3" hidden="1">
              <a:extLst>
                <a:ext uri="{63B3BB69-23CF-44E3-9099-C40C66FF867C}">
                  <a14:compatExt spid="_x0000_s61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7</xdr:row>
          <xdr:rowOff>0</xdr:rowOff>
        </xdr:from>
        <xdr:to>
          <xdr:col>6</xdr:col>
          <xdr:colOff>1733550</xdr:colOff>
          <xdr:row>7</xdr:row>
          <xdr:rowOff>428625</xdr:rowOff>
        </xdr:to>
        <xdr:sp macro="" textlink="">
          <xdr:nvSpPr>
            <xdr:cNvPr id="6149" name="Option Button 5" hidden="1">
              <a:extLst>
                <a:ext uri="{63B3BB69-23CF-44E3-9099-C40C66FF867C}">
                  <a14:compatExt spid="_x0000_s61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257175</xdr:rowOff>
        </xdr:from>
        <xdr:to>
          <xdr:col>7</xdr:col>
          <xdr:colOff>0</xdr:colOff>
          <xdr:row>7</xdr:row>
          <xdr:rowOff>0</xdr:rowOff>
        </xdr:to>
        <xdr:sp macro="" textlink="">
          <xdr:nvSpPr>
            <xdr:cNvPr id="6151" name="Group Box 7" hidden="1">
              <a:extLst>
                <a:ext uri="{63B3BB69-23CF-44E3-9099-C40C66FF867C}">
                  <a14:compatExt spid="_x0000_s61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xdr:row>
          <xdr:rowOff>104775</xdr:rowOff>
        </xdr:from>
        <xdr:to>
          <xdr:col>6</xdr:col>
          <xdr:colOff>762000</xdr:colOff>
          <xdr:row>8</xdr:row>
          <xdr:rowOff>381000</xdr:rowOff>
        </xdr:to>
        <xdr:sp macro="" textlink="">
          <xdr:nvSpPr>
            <xdr:cNvPr id="6154" name="Option Button 10" hidden="1">
              <a:extLst>
                <a:ext uri="{63B3BB69-23CF-44E3-9099-C40C66FF867C}">
                  <a14:compatExt spid="_x0000_s61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0</xdr:colOff>
          <xdr:row>8</xdr:row>
          <xdr:rowOff>0</xdr:rowOff>
        </xdr:to>
        <xdr:sp macro="" textlink="">
          <xdr:nvSpPr>
            <xdr:cNvPr id="6155" name="Group Box 11" hidden="1">
              <a:extLst>
                <a:ext uri="{63B3BB69-23CF-44E3-9099-C40C66FF867C}">
                  <a14:compatExt spid="_x0000_s615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0</xdr:colOff>
          <xdr:row>7</xdr:row>
          <xdr:rowOff>0</xdr:rowOff>
        </xdr:to>
        <xdr:sp macro="" textlink="">
          <xdr:nvSpPr>
            <xdr:cNvPr id="6156" name="Group Box 12" hidden="1">
              <a:extLst>
                <a:ext uri="{63B3BB69-23CF-44E3-9099-C40C66FF867C}">
                  <a14:compatExt spid="_x0000_s615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8</xdr:row>
          <xdr:rowOff>85725</xdr:rowOff>
        </xdr:from>
        <xdr:to>
          <xdr:col>6</xdr:col>
          <xdr:colOff>1590675</xdr:colOff>
          <xdr:row>8</xdr:row>
          <xdr:rowOff>428625</xdr:rowOff>
        </xdr:to>
        <xdr:sp macro="" textlink="">
          <xdr:nvSpPr>
            <xdr:cNvPr id="6157" name="Option Button 13" hidden="1">
              <a:extLst>
                <a:ext uri="{63B3BB69-23CF-44E3-9099-C40C66FF867C}">
                  <a14:compatExt spid="_x0000_s61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xdr:row>
          <xdr:rowOff>28575</xdr:rowOff>
        </xdr:from>
        <xdr:to>
          <xdr:col>6</xdr:col>
          <xdr:colOff>752475</xdr:colOff>
          <xdr:row>10</xdr:row>
          <xdr:rowOff>9525</xdr:rowOff>
        </xdr:to>
        <xdr:sp macro="" textlink="">
          <xdr:nvSpPr>
            <xdr:cNvPr id="6158" name="Option Button 14" hidden="1">
              <a:extLst>
                <a:ext uri="{63B3BB69-23CF-44E3-9099-C40C66FF867C}">
                  <a14:compatExt spid="_x0000_s61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9</xdr:row>
          <xdr:rowOff>47625</xdr:rowOff>
        </xdr:from>
        <xdr:to>
          <xdr:col>6</xdr:col>
          <xdr:colOff>1809750</xdr:colOff>
          <xdr:row>9</xdr:row>
          <xdr:rowOff>466725</xdr:rowOff>
        </xdr:to>
        <xdr:sp macro="" textlink="">
          <xdr:nvSpPr>
            <xdr:cNvPr id="6159" name="Option Button 15" hidden="1">
              <a:extLst>
                <a:ext uri="{63B3BB69-23CF-44E3-9099-C40C66FF867C}">
                  <a14:compatExt spid="_x0000_s61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9</xdr:row>
          <xdr:rowOff>0</xdr:rowOff>
        </xdr:to>
        <xdr:sp macro="" textlink="">
          <xdr:nvSpPr>
            <xdr:cNvPr id="6163" name="Group Box 19" hidden="1">
              <a:extLst>
                <a:ext uri="{63B3BB69-23CF-44E3-9099-C40C66FF867C}">
                  <a14:compatExt spid="_x0000_s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10</xdr:row>
          <xdr:rowOff>9525</xdr:rowOff>
        </xdr:to>
        <xdr:sp macro="" textlink="">
          <xdr:nvSpPr>
            <xdr:cNvPr id="6164" name="Group Box 20" hidden="1">
              <a:extLst>
                <a:ext uri="{63B3BB69-23CF-44E3-9099-C40C66FF867C}">
                  <a14:compatExt spid="_x0000_s6164"/>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6</xdr:row>
          <xdr:rowOff>38100</xdr:rowOff>
        </xdr:from>
        <xdr:to>
          <xdr:col>7</xdr:col>
          <xdr:colOff>9525</xdr:colOff>
          <xdr:row>6</xdr:row>
          <xdr:rowOff>495300</xdr:rowOff>
        </xdr:to>
        <xdr:sp macro="" textlink="">
          <xdr:nvSpPr>
            <xdr:cNvPr id="7187" name="Option Button 19" hidden="1">
              <a:extLst>
                <a:ext uri="{63B3BB69-23CF-44E3-9099-C40C66FF867C}">
                  <a14:compatExt spid="_x0000_s71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0</xdr:colOff>
          <xdr:row>7</xdr:row>
          <xdr:rowOff>0</xdr:rowOff>
        </xdr:to>
        <xdr:sp macro="" textlink="">
          <xdr:nvSpPr>
            <xdr:cNvPr id="7188" name="Option Button 20" hidden="1">
              <a:extLst>
                <a:ext uri="{63B3BB69-23CF-44E3-9099-C40C66FF867C}">
                  <a14:compatExt spid="_x0000_s71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8</xdr:col>
          <xdr:colOff>0</xdr:colOff>
          <xdr:row>7</xdr:row>
          <xdr:rowOff>0</xdr:rowOff>
        </xdr:to>
        <xdr:sp macro="" textlink="">
          <xdr:nvSpPr>
            <xdr:cNvPr id="7191" name="Group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600075</xdr:colOff>
          <xdr:row>7</xdr:row>
          <xdr:rowOff>495300</xdr:rowOff>
        </xdr:to>
        <xdr:sp macro="" textlink="">
          <xdr:nvSpPr>
            <xdr:cNvPr id="7193" name="Option Button 25" hidden="1">
              <a:extLst>
                <a:ext uri="{63B3BB69-23CF-44E3-9099-C40C66FF867C}">
                  <a14:compatExt spid="_x0000_s71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8</xdr:col>
          <xdr:colOff>0</xdr:colOff>
          <xdr:row>7</xdr:row>
          <xdr:rowOff>504825</xdr:rowOff>
        </xdr:to>
        <xdr:sp macro="" textlink="">
          <xdr:nvSpPr>
            <xdr:cNvPr id="7194" name="Option Button 26" hidden="1">
              <a:extLst>
                <a:ext uri="{63B3BB69-23CF-44E3-9099-C40C66FF867C}">
                  <a14:compatExt spid="_x0000_s71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8</xdr:col>
          <xdr:colOff>0</xdr:colOff>
          <xdr:row>8</xdr:row>
          <xdr:rowOff>0</xdr:rowOff>
        </xdr:to>
        <xdr:sp macro="" textlink="">
          <xdr:nvSpPr>
            <xdr:cNvPr id="7195" name="Group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76200</xdr:rowOff>
        </xdr:from>
        <xdr:to>
          <xdr:col>6</xdr:col>
          <xdr:colOff>866775</xdr:colOff>
          <xdr:row>8</xdr:row>
          <xdr:rowOff>47625</xdr:rowOff>
        </xdr:to>
        <xdr:sp macro="" textlink="">
          <xdr:nvSpPr>
            <xdr:cNvPr id="1039" name="Option Button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7</xdr:row>
          <xdr:rowOff>85725</xdr:rowOff>
        </xdr:from>
        <xdr:to>
          <xdr:col>6</xdr:col>
          <xdr:colOff>1628775</xdr:colOff>
          <xdr:row>8</xdr:row>
          <xdr:rowOff>0</xdr:rowOff>
        </xdr:to>
        <xdr:sp macro="" textlink="">
          <xdr:nvSpPr>
            <xdr:cNvPr id="1040" name="Option Button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epi\mapinfo\Users\tlawrence53\Library\Mail%20Downloads\filtrationdevic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2">
          <cell r="T2" t="str">
            <v>COUNTY</v>
          </cell>
        </row>
        <row r="3">
          <cell r="A3" t="str">
            <v>BERKELEY</v>
          </cell>
          <cell r="B3">
            <v>9.1549962759017944E-2</v>
          </cell>
          <cell r="C3">
            <v>0.11417174339294434</v>
          </cell>
          <cell r="T3" t="str">
            <v>ALAMEDA</v>
          </cell>
        </row>
        <row r="4">
          <cell r="A4" t="str">
            <v>HAYWARD 4 ESE</v>
          </cell>
          <cell r="B4">
            <v>0.22774997353553772</v>
          </cell>
          <cell r="C4">
            <v>0.10433976352214813</v>
          </cell>
          <cell r="T4" t="str">
            <v>ALPINE</v>
          </cell>
        </row>
        <row r="5">
          <cell r="A5" t="str">
            <v>OAKLAND WSO AP</v>
          </cell>
          <cell r="B5">
            <v>2.1363638341426849E-2</v>
          </cell>
          <cell r="C5">
            <v>9.2771239578723907E-2</v>
          </cell>
          <cell r="T5" t="str">
            <v>AMADOR</v>
          </cell>
        </row>
        <row r="6">
          <cell r="A6" t="str">
            <v>UPPER SAN LEANDRO FLTR</v>
          </cell>
          <cell r="B6">
            <v>4.9319140613079071E-2</v>
          </cell>
          <cell r="C6">
            <v>0.10424163192510605</v>
          </cell>
          <cell r="T6" t="str">
            <v>BUTTE</v>
          </cell>
        </row>
        <row r="7">
          <cell r="A7" t="str">
            <v>MARKLEEVILLE</v>
          </cell>
          <cell r="B7">
            <v>0.45160028338432312</v>
          </cell>
          <cell r="C7">
            <v>9.6409827470779419E-2</v>
          </cell>
          <cell r="T7" t="str">
            <v>CALAVERAS</v>
          </cell>
        </row>
        <row r="8">
          <cell r="A8" t="str">
            <v>FIDDLETOWN DEXTER RANCH</v>
          </cell>
          <cell r="B8">
            <v>9.9808953702449799E-2</v>
          </cell>
          <cell r="C8">
            <v>0.1919749528169632</v>
          </cell>
          <cell r="T8" t="str">
            <v>COLUSA</v>
          </cell>
        </row>
        <row r="9">
          <cell r="A9" t="str">
            <v>TIGER CREEK PH</v>
          </cell>
          <cell r="B9">
            <v>0.88549983501434326</v>
          </cell>
          <cell r="C9">
            <v>0.13974334299564362</v>
          </cell>
          <cell r="T9" t="str">
            <v>CONTRA_COSTA</v>
          </cell>
        </row>
        <row r="10">
          <cell r="A10" t="str">
            <v>BRUSH CREEK R S</v>
          </cell>
          <cell r="B10">
            <v>0.27074989676475525</v>
          </cell>
          <cell r="C10">
            <v>0.19587834179401398</v>
          </cell>
          <cell r="T10" t="str">
            <v>DEL_NORTE</v>
          </cell>
        </row>
        <row r="11">
          <cell r="A11" t="str">
            <v>CHICO UNIVERSITY FARM</v>
          </cell>
          <cell r="B11">
            <v>0.196292445063591</v>
          </cell>
          <cell r="C11">
            <v>0.10522806644439697</v>
          </cell>
          <cell r="T11" t="str">
            <v>EL_DORADO</v>
          </cell>
        </row>
        <row r="12">
          <cell r="A12" t="str">
            <v>OROVILLE R S</v>
          </cell>
          <cell r="B12">
            <v>9.9622450768947601E-2</v>
          </cell>
          <cell r="C12">
            <v>0.10750821232795715</v>
          </cell>
          <cell r="T12" t="str">
            <v>FRESNO</v>
          </cell>
        </row>
        <row r="13">
          <cell r="A13" t="str">
            <v>STIRLING CITY R S</v>
          </cell>
          <cell r="B13">
            <v>9.9867649376392365E-2</v>
          </cell>
          <cell r="C13">
            <v>0.19859208166599274</v>
          </cell>
          <cell r="T13" t="str">
            <v>GLENN</v>
          </cell>
        </row>
        <row r="14">
          <cell r="A14" t="str">
            <v>CALAVERAS R S</v>
          </cell>
          <cell r="B14">
            <v>1.7184990644454956</v>
          </cell>
          <cell r="C14">
            <v>0.14059390127658844</v>
          </cell>
          <cell r="T14" t="str">
            <v>HUMBOLDT</v>
          </cell>
        </row>
        <row r="15">
          <cell r="A15" t="str">
            <v>CAMP PARDEE</v>
          </cell>
          <cell r="B15">
            <v>9.975741058588028E-2</v>
          </cell>
          <cell r="C15">
            <v>9.8670937120914459E-2</v>
          </cell>
          <cell r="T15" t="str">
            <v>IMPERIAL</v>
          </cell>
        </row>
        <row r="16">
          <cell r="A16" t="str">
            <v>WILLIAMS</v>
          </cell>
          <cell r="B16">
            <v>0.33012506365776062</v>
          </cell>
          <cell r="C16">
            <v>9.3370735645294189E-2</v>
          </cell>
          <cell r="T16" t="str">
            <v>INYO</v>
          </cell>
        </row>
        <row r="17">
          <cell r="A17" t="str">
            <v>BRENTWOOD 6 SW</v>
          </cell>
          <cell r="B17">
            <v>0.26150023937225342</v>
          </cell>
          <cell r="C17">
            <v>9.4381332397460938E-2</v>
          </cell>
          <cell r="T17" t="str">
            <v>KERN</v>
          </cell>
        </row>
        <row r="18">
          <cell r="A18" t="str">
            <v>MARTINEZ 2 S</v>
          </cell>
          <cell r="B18">
            <v>0.10149979591369629</v>
          </cell>
          <cell r="C18">
            <v>9.9812619388103485E-2</v>
          </cell>
          <cell r="T18" t="str">
            <v>KINGS</v>
          </cell>
        </row>
        <row r="19">
          <cell r="A19" t="str">
            <v>WALNUT CREEK 2 ENE</v>
          </cell>
          <cell r="B19">
            <v>0.17375002801418304</v>
          </cell>
          <cell r="C19">
            <v>9.2580370604991913E-2</v>
          </cell>
          <cell r="T19" t="str">
            <v>LAKE</v>
          </cell>
        </row>
        <row r="20">
          <cell r="A20" t="str">
            <v>CRESCENT CITY MNTC STN</v>
          </cell>
          <cell r="B20">
            <v>9.9785491824150085E-2</v>
          </cell>
          <cell r="C20">
            <v>0.13139614462852478</v>
          </cell>
          <cell r="T20" t="str">
            <v>LASSEN</v>
          </cell>
        </row>
        <row r="21">
          <cell r="A21" t="str">
            <v>KLAMATH</v>
          </cell>
          <cell r="B21">
            <v>9.890814870595932E-2</v>
          </cell>
          <cell r="C21">
            <v>0.19142979383468628</v>
          </cell>
          <cell r="T21" t="str">
            <v>LOS_ANGELES</v>
          </cell>
        </row>
        <row r="22">
          <cell r="A22" t="str">
            <v>BLODGETT EXP FOREST</v>
          </cell>
          <cell r="B22">
            <v>9.9077358841896057E-2</v>
          </cell>
          <cell r="C22">
            <v>0.19701659679412842</v>
          </cell>
          <cell r="T22" t="str">
            <v>MADERA</v>
          </cell>
        </row>
        <row r="23">
          <cell r="A23" t="str">
            <v>GEORGETOWN R S</v>
          </cell>
          <cell r="B23">
            <v>9.9875003099441528E-2</v>
          </cell>
          <cell r="C23">
            <v>0.19823789596557617</v>
          </cell>
          <cell r="T23" t="str">
            <v>MARIN</v>
          </cell>
        </row>
        <row r="24">
          <cell r="A24" t="str">
            <v>KYBURZ STRAWBERRY</v>
          </cell>
          <cell r="B24">
            <v>2.0799999237060547</v>
          </cell>
          <cell r="C24">
            <v>9.3709468841552734E-2</v>
          </cell>
          <cell r="T24" t="str">
            <v>MARIPOSA</v>
          </cell>
        </row>
        <row r="25">
          <cell r="A25" t="str">
            <v>PLACERVILLE DISP PLANT</v>
          </cell>
          <cell r="B25">
            <v>9.9165059626102448E-2</v>
          </cell>
          <cell r="C25">
            <v>0.19387735426425934</v>
          </cell>
          <cell r="T25" t="str">
            <v>MENDOCINO</v>
          </cell>
        </row>
        <row r="26">
          <cell r="A26" t="str">
            <v>ROBBS PEAK P H</v>
          </cell>
          <cell r="B26">
            <v>9.8995834589004517E-2</v>
          </cell>
          <cell r="C26">
            <v>0.1944868266582489</v>
          </cell>
          <cell r="T26" t="str">
            <v>MERCED</v>
          </cell>
        </row>
        <row r="27">
          <cell r="A27" t="str">
            <v>BALCH POWER HOUSE</v>
          </cell>
          <cell r="B27">
            <v>9.9891990423202515E-2</v>
          </cell>
          <cell r="C27">
            <v>0.19123272597789764</v>
          </cell>
          <cell r="T27" t="str">
            <v>MODOC</v>
          </cell>
        </row>
        <row r="28">
          <cell r="A28" t="str">
            <v>COALINGA 1 SE</v>
          </cell>
          <cell r="B28">
            <v>0.13483338057994843</v>
          </cell>
          <cell r="C28">
            <v>8.2049988210201263E-2</v>
          </cell>
          <cell r="T28" t="str">
            <v>MONO</v>
          </cell>
        </row>
        <row r="29">
          <cell r="A29" t="str">
            <v>FLORENCE LAKE</v>
          </cell>
          <cell r="B29">
            <v>0.30600085854530334</v>
          </cell>
          <cell r="C29">
            <v>0.1078469306230545</v>
          </cell>
          <cell r="T29" t="str">
            <v>MONTEREY</v>
          </cell>
        </row>
        <row r="30">
          <cell r="A30" t="str">
            <v>FRESNO YOSEMITE INTL</v>
          </cell>
          <cell r="B30">
            <v>1.4288453385233879E-2</v>
          </cell>
          <cell r="C30">
            <v>8.3592027425765991E-2</v>
          </cell>
          <cell r="T30" t="str">
            <v>NAPA</v>
          </cell>
        </row>
        <row r="31">
          <cell r="A31" t="str">
            <v>HUNTINGTON LAKE</v>
          </cell>
          <cell r="B31">
            <v>0.19881431758403778</v>
          </cell>
          <cell r="C31">
            <v>0.19101758301258087</v>
          </cell>
          <cell r="T31" t="str">
            <v>NEVADA</v>
          </cell>
        </row>
        <row r="32">
          <cell r="A32" t="str">
            <v>STONY GORGE RESERVOIR</v>
          </cell>
          <cell r="B32">
            <v>0.26199996471405029</v>
          </cell>
          <cell r="C32">
            <v>9.7791761159896851E-2</v>
          </cell>
          <cell r="T32" t="str">
            <v>ORANGE</v>
          </cell>
        </row>
        <row r="33">
          <cell r="A33" t="str">
            <v>EUREKA WFO WOODLEY IS</v>
          </cell>
          <cell r="B33">
            <v>1.2345463968813419E-2</v>
          </cell>
          <cell r="C33">
            <v>9.0708345174789429E-2</v>
          </cell>
          <cell r="T33" t="str">
            <v>PLACER</v>
          </cell>
        </row>
        <row r="34">
          <cell r="A34" t="str">
            <v>KNEELAND 10 SSE</v>
          </cell>
          <cell r="B34">
            <v>0.80849921703338623</v>
          </cell>
          <cell r="C34">
            <v>0.10558134317398071</v>
          </cell>
          <cell r="T34" t="str">
            <v>PLUMAS</v>
          </cell>
        </row>
        <row r="35">
          <cell r="A35" t="str">
            <v>MIRANDA 4 SE</v>
          </cell>
          <cell r="B35">
            <v>9.9022641777992249E-2</v>
          </cell>
          <cell r="C35">
            <v>0.19541770219802856</v>
          </cell>
          <cell r="T35" t="str">
            <v>RIVERSIDE</v>
          </cell>
        </row>
        <row r="36">
          <cell r="A36" t="str">
            <v>MIRANDA SPENGLER RANCH</v>
          </cell>
          <cell r="B36">
            <v>0.56700068712234497</v>
          </cell>
          <cell r="C36">
            <v>0.10714183747768402</v>
          </cell>
          <cell r="T36" t="str">
            <v>SACRAMENTO</v>
          </cell>
        </row>
        <row r="37">
          <cell r="A37" t="str">
            <v>EL CENTRO 2 SSW</v>
          </cell>
          <cell r="B37">
            <v>0.19519999623298645</v>
          </cell>
          <cell r="C37">
            <v>9.7841821610927582E-2</v>
          </cell>
          <cell r="T37" t="str">
            <v>SAN_BENITO</v>
          </cell>
        </row>
        <row r="38">
          <cell r="A38" t="str">
            <v>BISHOP AP</v>
          </cell>
          <cell r="B38">
            <v>1.4866658486425877E-2</v>
          </cell>
          <cell r="C38">
            <v>8.0834895372390747E-2</v>
          </cell>
          <cell r="T38" t="str">
            <v>SAN_BERNARDINO</v>
          </cell>
        </row>
        <row r="39">
          <cell r="A39" t="str">
            <v>LONE PINE COTTONWOOD PH</v>
          </cell>
          <cell r="B39">
            <v>0.11824994534254074</v>
          </cell>
          <cell r="C39">
            <v>9.8609574139118195E-2</v>
          </cell>
          <cell r="T39" t="str">
            <v>SAN_DIEGO</v>
          </cell>
        </row>
        <row r="40">
          <cell r="A40" t="str">
            <v>BAKERSFIELD AP</v>
          </cell>
          <cell r="B40">
            <v>2.5296295061707497E-2</v>
          </cell>
          <cell r="C40">
            <v>6.5557070076465607E-2</v>
          </cell>
          <cell r="T40" t="str">
            <v>SAN_FRANCISCO</v>
          </cell>
        </row>
        <row r="41">
          <cell r="A41" t="str">
            <v>BORON</v>
          </cell>
          <cell r="B41">
            <v>0.29699999094009399</v>
          </cell>
          <cell r="C41">
            <v>9.0513348579406738E-2</v>
          </cell>
          <cell r="T41" t="str">
            <v>SAN_JOAQUIN</v>
          </cell>
        </row>
        <row r="42">
          <cell r="A42" t="str">
            <v>GLENNVILLE FULTON RNGR</v>
          </cell>
          <cell r="B42">
            <v>0.29759997129440308</v>
          </cell>
          <cell r="C42">
            <v>0.1114354208111763</v>
          </cell>
          <cell r="T42" t="str">
            <v>SAN_LUIS_OBISPO</v>
          </cell>
        </row>
        <row r="43">
          <cell r="A43" t="str">
            <v>LOST HILLS</v>
          </cell>
          <cell r="B43">
            <v>0.17666664719581604</v>
          </cell>
          <cell r="C43">
            <v>8.0126561224460602E-2</v>
          </cell>
          <cell r="T43" t="str">
            <v>SAN_MATEO</v>
          </cell>
        </row>
        <row r="44">
          <cell r="A44" t="str">
            <v>MOJAVE</v>
          </cell>
          <cell r="B44">
            <v>0.19512501358985901</v>
          </cell>
          <cell r="C44">
            <v>9.7801066935062408E-2</v>
          </cell>
          <cell r="T44" t="str">
            <v>SANTA_BARBARA</v>
          </cell>
        </row>
        <row r="45">
          <cell r="A45" t="str">
            <v>TAFT</v>
          </cell>
          <cell r="B45">
            <v>0.1652500331401825</v>
          </cell>
          <cell r="C45">
            <v>8.7760627269744873E-2</v>
          </cell>
          <cell r="T45" t="str">
            <v>SANTA_CLARA</v>
          </cell>
        </row>
        <row r="46">
          <cell r="A46" t="str">
            <v>TEHACHAPI AIRPORT</v>
          </cell>
          <cell r="B46">
            <v>9.9723853170871735E-2</v>
          </cell>
          <cell r="C46">
            <v>9.7617708146572113E-2</v>
          </cell>
          <cell r="T46" t="str">
            <v>SANTA_CRUZ</v>
          </cell>
        </row>
        <row r="47">
          <cell r="A47" t="str">
            <v>WELDON 1 WSW</v>
          </cell>
          <cell r="B47">
            <v>0.22599996626377106</v>
          </cell>
          <cell r="C47">
            <v>9.6425659954547882E-2</v>
          </cell>
          <cell r="T47" t="str">
            <v>SHASTA</v>
          </cell>
        </row>
        <row r="48">
          <cell r="A48" t="str">
            <v>CORCORAN IRRIG DIST</v>
          </cell>
          <cell r="B48">
            <v>9.9028252065181732E-2</v>
          </cell>
          <cell r="C48">
            <v>9.5684275031089783E-2</v>
          </cell>
          <cell r="T48" t="str">
            <v>SIERRA</v>
          </cell>
        </row>
        <row r="49">
          <cell r="A49" t="str">
            <v>CLEARLAKE 4 SE</v>
          </cell>
          <cell r="B49">
            <v>9.9342107772827148E-2</v>
          </cell>
          <cell r="C49">
            <v>9.9548481404781342E-2</v>
          </cell>
          <cell r="T49" t="str">
            <v>SISKIYOU</v>
          </cell>
        </row>
        <row r="50">
          <cell r="A50" t="str">
            <v>MAHNKE</v>
          </cell>
          <cell r="B50">
            <v>0.59716618061065674</v>
          </cell>
          <cell r="C50">
            <v>0.14810352027416229</v>
          </cell>
          <cell r="T50" t="str">
            <v>SOLANO</v>
          </cell>
        </row>
        <row r="51">
          <cell r="A51" t="str">
            <v>BIEBER</v>
          </cell>
          <cell r="B51">
            <v>0.33356252312660217</v>
          </cell>
          <cell r="C51">
            <v>8.4876194596290588E-2</v>
          </cell>
          <cell r="T51" t="str">
            <v>SONOMA</v>
          </cell>
        </row>
        <row r="52">
          <cell r="A52" t="str">
            <v>MILFORD LAUFMAN RS</v>
          </cell>
          <cell r="B52">
            <v>0.16274984180927277</v>
          </cell>
          <cell r="C52">
            <v>9.7183175384998322E-2</v>
          </cell>
          <cell r="T52" t="str">
            <v>STANISLAUS</v>
          </cell>
        </row>
        <row r="53">
          <cell r="A53" t="str">
            <v>SUSANVILLE 1 WNW</v>
          </cell>
          <cell r="B53">
            <v>0.24349993467330933</v>
          </cell>
          <cell r="C53">
            <v>9.4879649579524994E-2</v>
          </cell>
          <cell r="T53" t="str">
            <v>TEHAMA</v>
          </cell>
        </row>
        <row r="54">
          <cell r="A54" t="str">
            <v>TERMO 1 E</v>
          </cell>
          <cell r="B54">
            <v>0.19741666316986084</v>
          </cell>
          <cell r="C54">
            <v>9.0290360152721405E-2</v>
          </cell>
          <cell r="T54" t="str">
            <v>TRINITY</v>
          </cell>
        </row>
        <row r="55">
          <cell r="A55" t="str">
            <v>ACTON ESCONDIDO FC261</v>
          </cell>
          <cell r="B55">
            <v>0.19028572738170624</v>
          </cell>
          <cell r="C55">
            <v>0.10139768570661545</v>
          </cell>
          <cell r="T55" t="str">
            <v>TULARE</v>
          </cell>
        </row>
        <row r="56">
          <cell r="A56" t="str">
            <v>ALISO CANYON OAT MTN FC</v>
          </cell>
          <cell r="B56">
            <v>0.49775013327598572</v>
          </cell>
          <cell r="C56">
            <v>0.17703628540039063</v>
          </cell>
          <cell r="T56" t="str">
            <v>TUOLUMNE</v>
          </cell>
        </row>
        <row r="57">
          <cell r="A57" t="str">
            <v>BEL AIR FC-10A</v>
          </cell>
          <cell r="B57">
            <v>0.45250004529953003</v>
          </cell>
          <cell r="C57">
            <v>0.19123673439025879</v>
          </cell>
          <cell r="T57" t="str">
            <v>VENTURA</v>
          </cell>
        </row>
        <row r="58">
          <cell r="A58" t="str">
            <v>BIG PINES PARK FC83B</v>
          </cell>
          <cell r="B58">
            <v>0.19728127121925354</v>
          </cell>
          <cell r="C58">
            <v>0.17997929453849792</v>
          </cell>
          <cell r="T58" t="str">
            <v>YOLO</v>
          </cell>
        </row>
        <row r="59">
          <cell r="A59" t="str">
            <v>BIRMINGHAM GEN HOSP</v>
          </cell>
          <cell r="B59">
            <v>0.42625007033348083</v>
          </cell>
          <cell r="C59">
            <v>0.14038318395614624</v>
          </cell>
          <cell r="T59" t="str">
            <v>YUBA</v>
          </cell>
        </row>
        <row r="60">
          <cell r="A60" t="str">
            <v>BURBANK VALLEY PUMP PLA</v>
          </cell>
          <cell r="B60">
            <v>0.11774994432926178</v>
          </cell>
          <cell r="C60">
            <v>0.14880220592021942</v>
          </cell>
          <cell r="T60" t="str">
            <v>AREA</v>
          </cell>
        </row>
        <row r="61">
          <cell r="A61" t="str">
            <v>CHATSWORTH RESERVOIR</v>
          </cell>
          <cell r="B61">
            <v>0.56100010871887207</v>
          </cell>
          <cell r="C61">
            <v>0.13389626145362854</v>
          </cell>
        </row>
        <row r="62">
          <cell r="A62" t="str">
            <v>DIAMOND BAR</v>
          </cell>
          <cell r="B62">
            <v>0.39049988985061646</v>
          </cell>
          <cell r="C62">
            <v>0.14623512327671051</v>
          </cell>
        </row>
        <row r="63">
          <cell r="A63" t="str">
            <v>HANSEN DAM</v>
          </cell>
          <cell r="B63">
            <v>0.22550006210803986</v>
          </cell>
          <cell r="C63">
            <v>0.13787905871868134</v>
          </cell>
        </row>
        <row r="64">
          <cell r="A64" t="str">
            <v>LECHUZA PTRL ST FC352B</v>
          </cell>
          <cell r="B64">
            <v>9.9716268479824066E-2</v>
          </cell>
          <cell r="C64">
            <v>0.19844067096710205</v>
          </cell>
        </row>
        <row r="65">
          <cell r="A65" t="str">
            <v>LOS ANGELES CIVIC CENTE</v>
          </cell>
          <cell r="B65">
            <v>2.7437491342425346E-2</v>
          </cell>
          <cell r="C65">
            <v>0.13748455047607422</v>
          </cell>
        </row>
        <row r="66">
          <cell r="A66" t="str">
            <v>LOS ANGELES WSO ARPT</v>
          </cell>
          <cell r="B66">
            <v>4.4074997305870056E-2</v>
          </cell>
          <cell r="C66">
            <v>0.11504855751991272</v>
          </cell>
        </row>
        <row r="67">
          <cell r="A67" t="str">
            <v>NEWHALL S FC32CE</v>
          </cell>
          <cell r="B67">
            <v>9.8804876208305359E-2</v>
          </cell>
          <cell r="C67">
            <v>0.19880048930644989</v>
          </cell>
        </row>
        <row r="68">
          <cell r="A68" t="str">
            <v>PALMDALE</v>
          </cell>
          <cell r="B68">
            <v>0.19016663730144501</v>
          </cell>
          <cell r="C68">
            <v>9.8915912210941315E-2</v>
          </cell>
        </row>
        <row r="69">
          <cell r="A69" t="str">
            <v>SAN DIMAS TANBARK FLAT</v>
          </cell>
          <cell r="B69">
            <v>0.14825014770030975</v>
          </cell>
          <cell r="C69">
            <v>0.16511858999729156</v>
          </cell>
        </row>
        <row r="70">
          <cell r="A70" t="str">
            <v>SAN FERNANDO PH 3</v>
          </cell>
          <cell r="B70">
            <v>0.59550011157989502</v>
          </cell>
          <cell r="C70">
            <v>0.14784444868564606</v>
          </cell>
        </row>
        <row r="71">
          <cell r="A71" t="str">
            <v>SAN GABRIEL DAM FC425B</v>
          </cell>
          <cell r="B71">
            <v>9.9831394851207733E-2</v>
          </cell>
          <cell r="C71">
            <v>0.20851853489875793</v>
          </cell>
        </row>
        <row r="72">
          <cell r="A72" t="str">
            <v>SANDBERG</v>
          </cell>
          <cell r="B72">
            <v>9.0476758778095245E-2</v>
          </cell>
          <cell r="C72">
            <v>9.6347108483314514E-2</v>
          </cell>
        </row>
        <row r="73">
          <cell r="A73" t="str">
            <v>SANTA FE DAM</v>
          </cell>
          <cell r="B73">
            <v>0.19250001013278961</v>
          </cell>
          <cell r="C73">
            <v>0.14516149461269379</v>
          </cell>
        </row>
        <row r="74">
          <cell r="A74" t="str">
            <v>SEPULVEDA DAM</v>
          </cell>
          <cell r="B74">
            <v>0.57649940252304077</v>
          </cell>
          <cell r="C74">
            <v>0.1453406810760498</v>
          </cell>
        </row>
        <row r="75">
          <cell r="A75" t="str">
            <v>SIGNAL HILL FC 415</v>
          </cell>
          <cell r="B75">
            <v>9.9751532077789307E-2</v>
          </cell>
          <cell r="C75">
            <v>0.14933337271213531</v>
          </cell>
        </row>
        <row r="76">
          <cell r="A76" t="str">
            <v>SPADRA LANTERMAN HOSP</v>
          </cell>
          <cell r="B76">
            <v>9.9636077880859375E-2</v>
          </cell>
          <cell r="C76">
            <v>0.19093553721904755</v>
          </cell>
        </row>
        <row r="77">
          <cell r="A77" t="str">
            <v>SAN JOAQUIN EXP RANGE</v>
          </cell>
          <cell r="B77">
            <v>0.14414288103580475</v>
          </cell>
          <cell r="C77">
            <v>0.10247108340263367</v>
          </cell>
        </row>
        <row r="78">
          <cell r="A78" t="str">
            <v>MOUNT TAMALPAIS 2 SW</v>
          </cell>
          <cell r="B78">
            <v>9.9340334534645081E-2</v>
          </cell>
          <cell r="C78">
            <v>0.19452680647373199</v>
          </cell>
        </row>
        <row r="79">
          <cell r="A79" t="str">
            <v>NOVATO 8 WNW</v>
          </cell>
          <cell r="B79">
            <v>0.19833000004291534</v>
          </cell>
          <cell r="C79">
            <v>0.14883333444595337</v>
          </cell>
        </row>
        <row r="80">
          <cell r="A80" t="str">
            <v>CATHEYS VLY BULL R RCH</v>
          </cell>
          <cell r="B80">
            <v>0.17699998617172241</v>
          </cell>
          <cell r="C80">
            <v>0.10118240863084793</v>
          </cell>
        </row>
        <row r="81">
          <cell r="A81" t="str">
            <v>WAWONA RANGER STATION</v>
          </cell>
          <cell r="B81">
            <v>0.32399913668632507</v>
          </cell>
          <cell r="C81">
            <v>0.19112351536750793</v>
          </cell>
        </row>
        <row r="82">
          <cell r="A82" t="str">
            <v>YOSEMITE PARK HDQTRS</v>
          </cell>
          <cell r="B82">
            <v>0.60899770259857178</v>
          </cell>
          <cell r="C82">
            <v>0.11867864429950714</v>
          </cell>
        </row>
        <row r="83">
          <cell r="A83" t="str">
            <v>COVELO EEL RIVER RS</v>
          </cell>
          <cell r="B83">
            <v>9.9510319530963898E-2</v>
          </cell>
          <cell r="C83">
            <v>9.9429726600646973E-2</v>
          </cell>
        </row>
        <row r="84">
          <cell r="A84" t="str">
            <v>FORT BRAGG 5 N</v>
          </cell>
          <cell r="B84">
            <v>9.9944807589054108E-2</v>
          </cell>
          <cell r="C84">
            <v>9.9918074905872345E-2</v>
          </cell>
        </row>
        <row r="85">
          <cell r="A85" t="str">
            <v>LAYTONVILLE</v>
          </cell>
          <cell r="B85">
            <v>0.19980001449584961</v>
          </cell>
          <cell r="C85">
            <v>0.14059777557849884</v>
          </cell>
        </row>
        <row r="86">
          <cell r="A86" t="str">
            <v>NAVARRO 1 NW</v>
          </cell>
          <cell r="B86">
            <v>9.895797073841095E-2</v>
          </cell>
          <cell r="C86">
            <v>0.13459303975105286</v>
          </cell>
        </row>
        <row r="87">
          <cell r="A87" t="str">
            <v>POINT ARENA</v>
          </cell>
          <cell r="B87">
            <v>9.9457696080207825E-2</v>
          </cell>
          <cell r="C87">
            <v>0.11677232384681702</v>
          </cell>
        </row>
        <row r="88">
          <cell r="A88" t="str">
            <v>POTTER VALLEY 3 SE</v>
          </cell>
          <cell r="B88">
            <v>0.10616661608219147</v>
          </cell>
          <cell r="C88">
            <v>9.651561826467514E-2</v>
          </cell>
        </row>
        <row r="89">
          <cell r="A89" t="str">
            <v>POTTER VALLEY P H</v>
          </cell>
          <cell r="B89">
            <v>9.9354684352874756E-2</v>
          </cell>
          <cell r="C89">
            <v>0.19442987442016602</v>
          </cell>
        </row>
        <row r="90">
          <cell r="A90" t="str">
            <v>WILLITS HOWARD FOREST R</v>
          </cell>
          <cell r="B90">
            <v>0.57449954748153687</v>
          </cell>
          <cell r="C90">
            <v>0.11376377195119858</v>
          </cell>
        </row>
        <row r="91">
          <cell r="A91" t="str">
            <v>YORKVILLE</v>
          </cell>
          <cell r="B91">
            <v>9.9000789225101471E-2</v>
          </cell>
          <cell r="C91">
            <v>0.19179660081863403</v>
          </cell>
        </row>
        <row r="92">
          <cell r="A92" t="str">
            <v>MERCED 2</v>
          </cell>
          <cell r="B92">
            <v>0.19599997997283936</v>
          </cell>
          <cell r="C92">
            <v>9.5967240631580353E-2</v>
          </cell>
        </row>
        <row r="93">
          <cell r="A93" t="str">
            <v>SAN LUIS DAM</v>
          </cell>
          <cell r="B93">
            <v>9.9053032696247101E-2</v>
          </cell>
          <cell r="C93">
            <v>9.1418363153934479E-2</v>
          </cell>
        </row>
        <row r="94">
          <cell r="A94" t="str">
            <v>ALTURAS</v>
          </cell>
          <cell r="B94">
            <v>9.9034197628498077E-2</v>
          </cell>
          <cell r="C94">
            <v>9.4375424087047577E-2</v>
          </cell>
        </row>
        <row r="95">
          <cell r="A95" t="str">
            <v>DAY</v>
          </cell>
          <cell r="B95">
            <v>0.19738468527793884</v>
          </cell>
          <cell r="C95">
            <v>9.2068225145339966E-2</v>
          </cell>
        </row>
        <row r="96">
          <cell r="A96" t="str">
            <v>BRIDGEPORT RANGER STN</v>
          </cell>
          <cell r="B96">
            <v>0.49879983067512512</v>
          </cell>
          <cell r="C96">
            <v>9.3780189752578735E-2</v>
          </cell>
        </row>
        <row r="97">
          <cell r="A97" t="str">
            <v>SONORA JUNCTION</v>
          </cell>
          <cell r="B97">
            <v>0.14812500774860382</v>
          </cell>
          <cell r="C97">
            <v>9.5704682171344757E-2</v>
          </cell>
        </row>
        <row r="98">
          <cell r="A98" t="str">
            <v>ARROYO SECO</v>
          </cell>
          <cell r="B98">
            <v>0.17266668379306793</v>
          </cell>
          <cell r="C98">
            <v>0.1393575519323349</v>
          </cell>
        </row>
        <row r="99">
          <cell r="A99" t="str">
            <v>BRYSON</v>
          </cell>
          <cell r="B99">
            <v>9.9766217172145844E-2</v>
          </cell>
          <cell r="C99">
            <v>0.17682887613773346</v>
          </cell>
        </row>
        <row r="100">
          <cell r="A100" t="str">
            <v>DEL MONTE</v>
          </cell>
          <cell r="B100">
            <v>9.9538460373878479E-2</v>
          </cell>
          <cell r="C100">
            <v>9.9245689809322357E-2</v>
          </cell>
        </row>
        <row r="101">
          <cell r="A101" t="str">
            <v>KING CITY</v>
          </cell>
          <cell r="B101">
            <v>9.9003754556179047E-2</v>
          </cell>
          <cell r="C101">
            <v>9.9820889532566071E-2</v>
          </cell>
        </row>
        <row r="102">
          <cell r="A102" t="str">
            <v>LOCKWOOD 1 N</v>
          </cell>
          <cell r="B102">
            <v>9.9486842751502991E-2</v>
          </cell>
          <cell r="C102">
            <v>9.9332049489021301E-2</v>
          </cell>
        </row>
        <row r="103">
          <cell r="A103" t="str">
            <v>LUCIA WILLOW SPRINGS</v>
          </cell>
          <cell r="B103">
            <v>0.24149955809116364</v>
          </cell>
          <cell r="C103">
            <v>0.16601839661598206</v>
          </cell>
        </row>
        <row r="104">
          <cell r="A104" t="str">
            <v>ANGWIN PAC UNION COL</v>
          </cell>
          <cell r="B104">
            <v>9.9409468472003937E-2</v>
          </cell>
          <cell r="C104">
            <v>0.1968475878238678</v>
          </cell>
        </row>
        <row r="105">
          <cell r="A105" t="str">
            <v>ATLAS ROAD BROWN</v>
          </cell>
          <cell r="B105">
            <v>9.9079124629497528E-2</v>
          </cell>
          <cell r="C105">
            <v>0.19811947643756866</v>
          </cell>
        </row>
        <row r="106">
          <cell r="A106" t="str">
            <v>SAINT HELENA 4 WSW</v>
          </cell>
          <cell r="B106">
            <v>9.9243395030498505E-2</v>
          </cell>
          <cell r="C106">
            <v>0.19198973476886749</v>
          </cell>
        </row>
        <row r="107">
          <cell r="A107" t="str">
            <v>BOWMAN DAM</v>
          </cell>
          <cell r="B107">
            <v>0.19971741735935211</v>
          </cell>
          <cell r="C107">
            <v>0.19181187450885773</v>
          </cell>
        </row>
        <row r="108">
          <cell r="A108" t="str">
            <v>GRASS VALLEY NO 2</v>
          </cell>
          <cell r="B108">
            <v>0.10166659951210022</v>
          </cell>
          <cell r="C108">
            <v>0.17333944141864777</v>
          </cell>
        </row>
        <row r="109">
          <cell r="A109" t="str">
            <v>NORTH BLOOMFIELD</v>
          </cell>
          <cell r="B109">
            <v>9.8995588719844818E-2</v>
          </cell>
          <cell r="C109">
            <v>0.19550105929374695</v>
          </cell>
        </row>
        <row r="110">
          <cell r="A110" t="str">
            <v>SODA SPRINGS 1 E</v>
          </cell>
          <cell r="B110">
            <v>0.99829965829849243</v>
          </cell>
          <cell r="C110">
            <v>9.9866457283496857E-2</v>
          </cell>
        </row>
        <row r="111">
          <cell r="A111" t="str">
            <v>TRUCKEE RS</v>
          </cell>
          <cell r="B111">
            <v>9.994092583656311E-2</v>
          </cell>
          <cell r="C111">
            <v>9.902685135602951E-2</v>
          </cell>
        </row>
        <row r="112">
          <cell r="A112" t="str">
            <v>BREA DAM</v>
          </cell>
          <cell r="B112">
            <v>0.29983341693878174</v>
          </cell>
          <cell r="C112">
            <v>0.13422219455242157</v>
          </cell>
        </row>
        <row r="113">
          <cell r="A113" t="str">
            <v>CARBON CANYON GILMAN</v>
          </cell>
          <cell r="B113">
            <v>0.42849910259246826</v>
          </cell>
          <cell r="C113">
            <v>0.13906121253967285</v>
          </cell>
        </row>
        <row r="114">
          <cell r="A114" t="str">
            <v>EL MODENA</v>
          </cell>
          <cell r="B114">
            <v>0.40349975228309631</v>
          </cell>
          <cell r="C114">
            <v>0.11278154700994492</v>
          </cell>
        </row>
        <row r="115">
          <cell r="A115" t="str">
            <v>FULLERTON DAM</v>
          </cell>
          <cell r="B115">
            <v>0.32349994778633118</v>
          </cell>
          <cell r="C115">
            <v>0.13800925016403198</v>
          </cell>
        </row>
        <row r="116">
          <cell r="A116" t="str">
            <v>LAGUNA BEACH 2</v>
          </cell>
          <cell r="B116">
            <v>9.9666669964790344E-2</v>
          </cell>
          <cell r="C116">
            <v>0.19099888205528259</v>
          </cell>
        </row>
        <row r="117">
          <cell r="A117" t="str">
            <v>ORANGE COUNTY RESERVOIR</v>
          </cell>
          <cell r="B117">
            <v>0.49999997019767761</v>
          </cell>
          <cell r="C117">
            <v>0.13769198954105377</v>
          </cell>
        </row>
        <row r="118">
          <cell r="A118" t="str">
            <v>SAN JUAN GUARD STN</v>
          </cell>
          <cell r="B118">
            <v>9.8756201565265656E-2</v>
          </cell>
          <cell r="C118">
            <v>0.17468185722827911</v>
          </cell>
        </row>
        <row r="119">
          <cell r="A119" t="str">
            <v>SANTIAGO DAM</v>
          </cell>
          <cell r="B119">
            <v>0.7429998517036438</v>
          </cell>
          <cell r="C119">
            <v>0.14107510447502136</v>
          </cell>
        </row>
        <row r="120">
          <cell r="A120" t="str">
            <v>SILVERADO RANGER STN</v>
          </cell>
          <cell r="B120">
            <v>0.598499596118927</v>
          </cell>
          <cell r="C120">
            <v>0.14378538727760315</v>
          </cell>
        </row>
        <row r="121">
          <cell r="A121" t="str">
            <v>TRABUCO CANYON</v>
          </cell>
          <cell r="B121">
            <v>9.9432468414306641E-2</v>
          </cell>
          <cell r="C121">
            <v>0.19197240471839905</v>
          </cell>
        </row>
        <row r="122">
          <cell r="A122" t="str">
            <v>BLUE CANYON</v>
          </cell>
          <cell r="B122">
            <v>9.7020275890827179E-2</v>
          </cell>
          <cell r="C122">
            <v>0.13985773921012878</v>
          </cell>
        </row>
        <row r="123">
          <cell r="A123" t="str">
            <v>HELL HOLE</v>
          </cell>
          <cell r="B123">
            <v>9.9400155246257782E-2</v>
          </cell>
          <cell r="C123">
            <v>0.19368959963321686</v>
          </cell>
        </row>
        <row r="124">
          <cell r="A124" t="str">
            <v>MICHIGAN BLUFF</v>
          </cell>
          <cell r="B124">
            <v>2.0255024433135986</v>
          </cell>
          <cell r="C124">
            <v>0.11016266047954559</v>
          </cell>
        </row>
        <row r="125">
          <cell r="A125" t="str">
            <v>HAMILTON BRANCH FIRE DE</v>
          </cell>
          <cell r="B125">
            <v>1.2805007696151733</v>
          </cell>
          <cell r="C125">
            <v>6.9080792367458344E-2</v>
          </cell>
        </row>
        <row r="126">
          <cell r="A126" t="str">
            <v>PLUMAS EUREKA STATE PAR</v>
          </cell>
          <cell r="B126">
            <v>9.9800989031791687E-2</v>
          </cell>
          <cell r="C126">
            <v>0.19468313455581665</v>
          </cell>
        </row>
        <row r="127">
          <cell r="A127" t="str">
            <v>PORTOLA</v>
          </cell>
          <cell r="B127">
            <v>0.5774996280670166</v>
          </cell>
          <cell r="C127">
            <v>9.4898894429206848E-2</v>
          </cell>
        </row>
        <row r="128">
          <cell r="A128" t="str">
            <v>BEAUMONT</v>
          </cell>
          <cell r="B128">
            <v>9.9640548229217529E-2</v>
          </cell>
          <cell r="C128">
            <v>0.17777259647846222</v>
          </cell>
        </row>
        <row r="129">
          <cell r="A129" t="str">
            <v>BLYTHE 7 W</v>
          </cell>
          <cell r="B129">
            <v>0.36833333969116211</v>
          </cell>
          <cell r="C129">
            <v>9.7307696938514709E-2</v>
          </cell>
        </row>
        <row r="130">
          <cell r="A130" t="str">
            <v>ELSINORE</v>
          </cell>
          <cell r="B130">
            <v>9.9059760570526123E-2</v>
          </cell>
          <cell r="C130">
            <v>0.1939782053232193</v>
          </cell>
        </row>
        <row r="131">
          <cell r="A131" t="str">
            <v>HAYFIELD PUMPING PLANT</v>
          </cell>
          <cell r="B131">
            <v>9.9621854722499847E-2</v>
          </cell>
          <cell r="C131">
            <v>9.9207818508148193E-2</v>
          </cell>
        </row>
        <row r="132">
          <cell r="A132" t="str">
            <v>HURKEY CREEK PARK</v>
          </cell>
          <cell r="B132">
            <v>9.9997915327548981E-2</v>
          </cell>
          <cell r="C132">
            <v>0.1901712566614151</v>
          </cell>
        </row>
        <row r="133">
          <cell r="A133" t="str">
            <v>IDYLLWILD FIRE DEPT</v>
          </cell>
          <cell r="B133">
            <v>0.17100018262863159</v>
          </cell>
          <cell r="C133">
            <v>0.19340363144874573</v>
          </cell>
        </row>
        <row r="134">
          <cell r="A134" t="str">
            <v>PRADO DAM</v>
          </cell>
          <cell r="B134">
            <v>0.34000000357627869</v>
          </cell>
          <cell r="C134">
            <v>0.13137876987457275</v>
          </cell>
        </row>
        <row r="135">
          <cell r="A135" t="str">
            <v>RIVERSIDE CITRUS EXP ST</v>
          </cell>
          <cell r="B135">
            <v>4.6071432530879974E-2</v>
          </cell>
          <cell r="C135">
            <v>9.3337319791316986E-2</v>
          </cell>
        </row>
        <row r="136">
          <cell r="A136" t="str">
            <v>SAN JACINTO R S</v>
          </cell>
          <cell r="B136">
            <v>9.9512360990047455E-2</v>
          </cell>
          <cell r="C136">
            <v>9.9743887782096863E-2</v>
          </cell>
        </row>
        <row r="137">
          <cell r="A137" t="str">
            <v>SACRAMENTO DOWNTOWN</v>
          </cell>
          <cell r="B137">
            <v>1.6826923936605453E-2</v>
          </cell>
          <cell r="C137">
            <v>9.3431107699871063E-2</v>
          </cell>
        </row>
        <row r="138">
          <cell r="A138" t="str">
            <v>SACRAMENTO FAA ARPT</v>
          </cell>
          <cell r="B138">
            <v>1.6733329743146896E-2</v>
          </cell>
          <cell r="C138">
            <v>9.106522798538208E-2</v>
          </cell>
        </row>
        <row r="139">
          <cell r="A139" t="str">
            <v>HERNANDEZ 7 SE</v>
          </cell>
          <cell r="B139">
            <v>9.9229611456394196E-2</v>
          </cell>
          <cell r="C139">
            <v>0.13044387102127075</v>
          </cell>
        </row>
        <row r="140">
          <cell r="A140" t="str">
            <v>HOLLISTER 2</v>
          </cell>
          <cell r="B140">
            <v>9.9441975355148315E-2</v>
          </cell>
          <cell r="C140">
            <v>9.923940896987915E-2</v>
          </cell>
        </row>
        <row r="141">
          <cell r="A141" t="str">
            <v>HOLLISTER 9 ENE</v>
          </cell>
          <cell r="B141">
            <v>9.9215544760227203E-2</v>
          </cell>
          <cell r="C141">
            <v>0.17603488266468048</v>
          </cell>
        </row>
        <row r="142">
          <cell r="A142" t="str">
            <v>SAN BENITO</v>
          </cell>
          <cell r="B142">
            <v>0.29149997234344482</v>
          </cell>
          <cell r="C142">
            <v>9.8054304718971252E-2</v>
          </cell>
        </row>
        <row r="143">
          <cell r="A143" t="str">
            <v>SAN JUAN BAUTISTA 3 SS</v>
          </cell>
          <cell r="B143">
            <v>0.49225005507469177</v>
          </cell>
          <cell r="C143">
            <v>9.827636182308197E-2</v>
          </cell>
        </row>
        <row r="144">
          <cell r="A144" t="str">
            <v>UPPER TRES PINOS</v>
          </cell>
          <cell r="B144">
            <v>0.59400022029876709</v>
          </cell>
          <cell r="C144">
            <v>9.487498551607132E-2</v>
          </cell>
        </row>
        <row r="145">
          <cell r="A145" t="str">
            <v>BAKER</v>
          </cell>
          <cell r="B145">
            <v>0.33483341336250305</v>
          </cell>
          <cell r="C145">
            <v>6.8580932915210724E-2</v>
          </cell>
        </row>
        <row r="146">
          <cell r="A146" t="str">
            <v>BIG BEAR LAKE DAM</v>
          </cell>
          <cell r="B146">
            <v>0.39179998636245728</v>
          </cell>
          <cell r="C146">
            <v>0.19884535670280457</v>
          </cell>
        </row>
        <row r="147">
          <cell r="A147" t="str">
            <v>CAJON WEST SUMMIT</v>
          </cell>
          <cell r="B147">
            <v>9.9877603352069855E-2</v>
          </cell>
          <cell r="C147">
            <v>0.17956526577472687</v>
          </cell>
        </row>
        <row r="148">
          <cell r="A148" t="str">
            <v>CAMP ANGELUS</v>
          </cell>
          <cell r="B148">
            <v>0.24424977600574493</v>
          </cell>
          <cell r="C148">
            <v>0.19897586107254028</v>
          </cell>
        </row>
        <row r="149">
          <cell r="A149" t="str">
            <v>CARBON CANYON WORKMAN</v>
          </cell>
          <cell r="B149">
            <v>0.74325025081634521</v>
          </cell>
          <cell r="C149">
            <v>0.14224095642566681</v>
          </cell>
        </row>
        <row r="150">
          <cell r="A150" t="str">
            <v>CRESTLINE FIRE STN 2</v>
          </cell>
          <cell r="B150">
            <v>9.9295705556869507E-2</v>
          </cell>
          <cell r="C150">
            <v>0.29298141598701477</v>
          </cell>
        </row>
        <row r="151">
          <cell r="A151" t="str">
            <v>DAGGETT POWER PLANT</v>
          </cell>
          <cell r="B151">
            <v>0.19047060608863831</v>
          </cell>
          <cell r="C151">
            <v>9.905620664358139E-2</v>
          </cell>
        </row>
        <row r="152">
          <cell r="A152" t="str">
            <v>ETIWANDA</v>
          </cell>
          <cell r="B152">
            <v>0.87400048971176147</v>
          </cell>
          <cell r="C152">
            <v>0.1458241194486618</v>
          </cell>
        </row>
        <row r="153">
          <cell r="A153" t="str">
            <v>IRON MOUNTAIN</v>
          </cell>
          <cell r="B153">
            <v>0.117249995470047</v>
          </cell>
          <cell r="C153">
            <v>9.8758161067962646E-2</v>
          </cell>
        </row>
        <row r="154">
          <cell r="A154" t="str">
            <v>LYTLE CREEK FOOTHILL BL</v>
          </cell>
          <cell r="B154">
            <v>0.57500028610229492</v>
          </cell>
          <cell r="C154">
            <v>0.11319358646869659</v>
          </cell>
        </row>
        <row r="155">
          <cell r="A155" t="str">
            <v>LYTLE CREEK R S</v>
          </cell>
          <cell r="B155">
            <v>0.19788235425949097</v>
          </cell>
          <cell r="C155">
            <v>0.29360437393188477</v>
          </cell>
        </row>
        <row r="156">
          <cell r="A156" t="str">
            <v>MILL CREEK INTAKE</v>
          </cell>
          <cell r="B156">
            <v>0.19720000028610229</v>
          </cell>
          <cell r="C156">
            <v>0.19649402797222137</v>
          </cell>
        </row>
        <row r="157">
          <cell r="A157" t="str">
            <v>NEEDLES</v>
          </cell>
          <cell r="B157">
            <v>0.27700012922286987</v>
          </cell>
          <cell r="C157">
            <v>9.8817549645900726E-2</v>
          </cell>
        </row>
        <row r="158">
          <cell r="A158" t="str">
            <v>PARKER RESERVOIR</v>
          </cell>
          <cell r="B158">
            <v>9.9894233047962189E-2</v>
          </cell>
          <cell r="C158">
            <v>9.9923297762870789E-2</v>
          </cell>
        </row>
        <row r="159">
          <cell r="A159" t="str">
            <v>RUNNING SPRINGS 1 E</v>
          </cell>
          <cell r="B159">
            <v>0.29588890075683594</v>
          </cell>
          <cell r="C159">
            <v>0.26842319965362549</v>
          </cell>
        </row>
        <row r="160">
          <cell r="A160" t="str">
            <v>SANTA ANA RIVER P H 3</v>
          </cell>
          <cell r="B160">
            <v>0.30574983358383179</v>
          </cell>
          <cell r="C160">
            <v>0.10478394478559494</v>
          </cell>
        </row>
        <row r="161">
          <cell r="A161" t="str">
            <v>VICTORVILLE PUMP PLANT</v>
          </cell>
          <cell r="B161">
            <v>9.9549710750579834E-2</v>
          </cell>
          <cell r="C161">
            <v>9.8831847310066223E-2</v>
          </cell>
        </row>
        <row r="162">
          <cell r="A162" t="str">
            <v>CRAWFORD RANCH</v>
          </cell>
          <cell r="B162">
            <v>0.39049986004829407</v>
          </cell>
          <cell r="C162">
            <v>8.4741093218326569E-2</v>
          </cell>
        </row>
        <row r="163">
          <cell r="A163" t="str">
            <v>CUYAMACA</v>
          </cell>
          <cell r="B163">
            <v>9.9379956722259521E-2</v>
          </cell>
          <cell r="C163">
            <v>0.197541743516922</v>
          </cell>
        </row>
        <row r="164">
          <cell r="A164" t="str">
            <v>EL CAPITAN DAM</v>
          </cell>
          <cell r="B164">
            <v>9.8976492881774902E-2</v>
          </cell>
          <cell r="C164">
            <v>0.14086085557937622</v>
          </cell>
        </row>
        <row r="165">
          <cell r="A165" t="str">
            <v>FALLBROOK</v>
          </cell>
          <cell r="B165">
            <v>9.9100343883037567E-2</v>
          </cell>
          <cell r="C165">
            <v>0.19010062515735626</v>
          </cell>
        </row>
        <row r="166">
          <cell r="A166" t="str">
            <v>HENSHAW DAM</v>
          </cell>
          <cell r="B166">
            <v>9.969097375869751E-2</v>
          </cell>
          <cell r="C166">
            <v>0.17906178534030914</v>
          </cell>
        </row>
        <row r="167">
          <cell r="A167" t="str">
            <v>LAKE WOHLFORD</v>
          </cell>
          <cell r="B167">
            <v>9.9244080483913422E-2</v>
          </cell>
          <cell r="C167">
            <v>0.14335568249225616</v>
          </cell>
        </row>
        <row r="168">
          <cell r="A168" t="str">
            <v>LOWER OTAY RESERVOIR</v>
          </cell>
          <cell r="B168">
            <v>0.19474001228809357</v>
          </cell>
          <cell r="C168">
            <v>0.11784616857767105</v>
          </cell>
        </row>
        <row r="169">
          <cell r="A169" t="str">
            <v>MORENA DAM</v>
          </cell>
          <cell r="B169">
            <v>9.9379964172840118E-2</v>
          </cell>
          <cell r="C169">
            <v>0.10627102106809616</v>
          </cell>
        </row>
        <row r="170">
          <cell r="A170" t="str">
            <v>OCEANSIDE PUMPING PLANT</v>
          </cell>
          <cell r="B170">
            <v>9.9597036838531494E-2</v>
          </cell>
          <cell r="C170">
            <v>0.13579171895980835</v>
          </cell>
        </row>
        <row r="171">
          <cell r="A171" t="str">
            <v>PALOMAR MOUNTAIN OBSERV</v>
          </cell>
          <cell r="B171">
            <v>0.29707139730453491</v>
          </cell>
          <cell r="C171">
            <v>0.19685840606689453</v>
          </cell>
        </row>
        <row r="172">
          <cell r="A172" t="str">
            <v>SAN DIEGO WSO AIRPORT</v>
          </cell>
          <cell r="B172">
            <v>2.2586964070796967E-2</v>
          </cell>
          <cell r="C172">
            <v>9.3044139444828033E-2</v>
          </cell>
        </row>
        <row r="173">
          <cell r="A173" t="str">
            <v>WARNER SPRINGS</v>
          </cell>
          <cell r="B173">
            <v>0.42400005459785461</v>
          </cell>
          <cell r="C173">
            <v>9.6467196941375732E-2</v>
          </cell>
        </row>
        <row r="174">
          <cell r="A174" t="str">
            <v>SAN FRANCISCO DOWNTOWN</v>
          </cell>
          <cell r="B174">
            <v>1.5060971491038799E-2</v>
          </cell>
          <cell r="C174">
            <v>9.2160254716873169E-2</v>
          </cell>
        </row>
        <row r="175">
          <cell r="A175" t="str">
            <v>SAN FRANCISCO OCEANSIDE</v>
          </cell>
          <cell r="B175">
            <v>6.0125023126602173E-2</v>
          </cell>
          <cell r="C175">
            <v>9.7609966993331909E-2</v>
          </cell>
        </row>
        <row r="176">
          <cell r="A176" t="str">
            <v>STOCKTON AP</v>
          </cell>
          <cell r="B176">
            <v>4.346875473856926E-2</v>
          </cell>
          <cell r="C176">
            <v>8.895605057477951E-2</v>
          </cell>
        </row>
        <row r="177">
          <cell r="A177" t="str">
            <v>STOCKTON DISPOSAL PLANT</v>
          </cell>
          <cell r="B177">
            <v>0.19066666066646576</v>
          </cell>
          <cell r="C177">
            <v>9.626442939043045E-2</v>
          </cell>
        </row>
        <row r="178">
          <cell r="A178" t="str">
            <v>TRACY 2 SSE</v>
          </cell>
          <cell r="B178">
            <v>0.11149997264146805</v>
          </cell>
          <cell r="C178">
            <v>6.7117981612682343E-2</v>
          </cell>
        </row>
        <row r="179">
          <cell r="A179" t="str">
            <v>CHOLAME ALLEY RANCH</v>
          </cell>
          <cell r="B179">
            <v>0.30199980735778809</v>
          </cell>
          <cell r="C179">
            <v>8.5753872990608215E-2</v>
          </cell>
        </row>
        <row r="180">
          <cell r="A180" t="str">
            <v>HUASNA</v>
          </cell>
          <cell r="B180">
            <v>0.3912501335144043</v>
          </cell>
          <cell r="C180">
            <v>0.11265445500612259</v>
          </cell>
        </row>
        <row r="181">
          <cell r="A181" t="str">
            <v>SAN LUIS OBISPO</v>
          </cell>
          <cell r="B181">
            <v>9.9144652485847473E-2</v>
          </cell>
          <cell r="C181">
            <v>0.19213743507862091</v>
          </cell>
        </row>
        <row r="182">
          <cell r="A182" t="str">
            <v>SAN FRANCISCO WSO AP</v>
          </cell>
          <cell r="B182">
            <v>1.8243897706270218E-2</v>
          </cell>
          <cell r="C182">
            <v>9.4497241079807281E-2</v>
          </cell>
        </row>
        <row r="183">
          <cell r="A183" t="str">
            <v>CACHUMA LAKE</v>
          </cell>
          <cell r="B183">
            <v>0.24399985373020172</v>
          </cell>
          <cell r="C183">
            <v>0.14294596016407013</v>
          </cell>
        </row>
        <row r="184">
          <cell r="A184" t="str">
            <v>CARPINTERIA RESERVOIR</v>
          </cell>
          <cell r="B184">
            <v>9.8981663584709167E-2</v>
          </cell>
          <cell r="C184">
            <v>0.19946666061878204</v>
          </cell>
        </row>
        <row r="185">
          <cell r="A185" t="str">
            <v>FIGUEROA MOUNTAIN</v>
          </cell>
          <cell r="B185">
            <v>0.19159257411956787</v>
          </cell>
          <cell r="C185">
            <v>0.19480149447917938</v>
          </cell>
        </row>
        <row r="186">
          <cell r="A186" t="str">
            <v>SAN MARCOS PASS</v>
          </cell>
          <cell r="B186">
            <v>9.9080868065357208E-2</v>
          </cell>
          <cell r="C186">
            <v>0.2968217134475708</v>
          </cell>
        </row>
        <row r="187">
          <cell r="A187" t="str">
            <v>SANTA BARBARA</v>
          </cell>
          <cell r="B187">
            <v>9.9213771522045135E-2</v>
          </cell>
          <cell r="C187">
            <v>0.19564501941204071</v>
          </cell>
        </row>
        <row r="188">
          <cell r="A188" t="str">
            <v>SANTA MARIA WSO ARPT</v>
          </cell>
          <cell r="B188">
            <v>1.9342860206961632E-2</v>
          </cell>
          <cell r="C188">
            <v>9.5089733600616455E-2</v>
          </cell>
        </row>
        <row r="189">
          <cell r="A189" t="str">
            <v>SANTA YNEZ</v>
          </cell>
          <cell r="B189">
            <v>9.9515520036220551E-2</v>
          </cell>
          <cell r="C189">
            <v>0.19292868673801422</v>
          </cell>
        </row>
        <row r="190">
          <cell r="A190" t="str">
            <v>SURF 2 ENE</v>
          </cell>
          <cell r="B190">
            <v>0.16300006210803986</v>
          </cell>
          <cell r="C190">
            <v>9.9869579076766968E-2</v>
          </cell>
        </row>
        <row r="191">
          <cell r="A191" t="str">
            <v>GILROY 8 NE</v>
          </cell>
          <cell r="B191">
            <v>0.17774996161460876</v>
          </cell>
          <cell r="C191">
            <v>0.10260123759508133</v>
          </cell>
        </row>
        <row r="192">
          <cell r="A192" t="str">
            <v>MORGAN HILL</v>
          </cell>
          <cell r="B192">
            <v>9.9058277904987335E-2</v>
          </cell>
          <cell r="C192">
            <v>0.1475890576839447</v>
          </cell>
        </row>
        <row r="193">
          <cell r="A193" t="str">
            <v>SAN JOSE</v>
          </cell>
          <cell r="B193">
            <v>9.7589023411273956E-2</v>
          </cell>
          <cell r="C193">
            <v>9.6759848296642303E-2</v>
          </cell>
        </row>
        <row r="194">
          <cell r="A194" t="str">
            <v>BOULDER CREEK LOCAT RAN</v>
          </cell>
          <cell r="B194">
            <v>9.9073737859725952E-2</v>
          </cell>
          <cell r="C194">
            <v>0.19928097724914551</v>
          </cell>
        </row>
        <row r="195">
          <cell r="A195" t="str">
            <v>CORRALITOS</v>
          </cell>
          <cell r="B195">
            <v>9.9514700472354889E-2</v>
          </cell>
          <cell r="C195">
            <v>0.19399717450141907</v>
          </cell>
        </row>
        <row r="196">
          <cell r="A196" t="str">
            <v>SUNSET STATE BEACH</v>
          </cell>
          <cell r="B196">
            <v>9.8910130560398102E-2</v>
          </cell>
          <cell r="C196">
            <v>0.16576085984706879</v>
          </cell>
        </row>
        <row r="197">
          <cell r="A197" t="str">
            <v>HARRISON GULCH R S</v>
          </cell>
          <cell r="B197">
            <v>9.9339887499809265E-2</v>
          </cell>
          <cell r="C197">
            <v>9.9223479628562927E-2</v>
          </cell>
        </row>
        <row r="198">
          <cell r="A198" t="str">
            <v>REDDING 5 SSE</v>
          </cell>
          <cell r="B198">
            <v>0.17674992978572845</v>
          </cell>
          <cell r="C198">
            <v>0.11143502593040466</v>
          </cell>
        </row>
        <row r="199">
          <cell r="A199" t="str">
            <v>SHASTA DAM</v>
          </cell>
          <cell r="B199">
            <v>9.9854834377765656E-2</v>
          </cell>
          <cell r="C199">
            <v>0.19576339423656464</v>
          </cell>
        </row>
        <row r="200">
          <cell r="A200" t="str">
            <v>VOLTA POWER HOUSE</v>
          </cell>
          <cell r="B200">
            <v>9.9425829946994781E-2</v>
          </cell>
          <cell r="C200">
            <v>9.9923461675643921E-2</v>
          </cell>
        </row>
        <row r="201">
          <cell r="A201" t="str">
            <v>DOWNIEVILLE</v>
          </cell>
          <cell r="B201">
            <v>0.16049946844577789</v>
          </cell>
          <cell r="C201">
            <v>0.19270932674407959</v>
          </cell>
        </row>
        <row r="202">
          <cell r="A202" t="str">
            <v>SIERRAVILLE R S</v>
          </cell>
          <cell r="B202">
            <v>0.33688884973526001</v>
          </cell>
          <cell r="C202">
            <v>9.8284535109996796E-2</v>
          </cell>
        </row>
        <row r="203">
          <cell r="A203" t="str">
            <v>ETNA</v>
          </cell>
          <cell r="B203">
            <v>9.9640950560569763E-2</v>
          </cell>
          <cell r="C203">
            <v>9.6582338213920593E-2</v>
          </cell>
        </row>
        <row r="204">
          <cell r="A204" t="str">
            <v>HAPPY CAMP RANGER STN</v>
          </cell>
          <cell r="B204">
            <v>9.9112354218959808E-2</v>
          </cell>
          <cell r="C204">
            <v>0.10347940027713776</v>
          </cell>
        </row>
        <row r="205">
          <cell r="A205" t="str">
            <v>MONTAGUE 5 NE</v>
          </cell>
          <cell r="B205">
            <v>9.9314786493778229E-2</v>
          </cell>
          <cell r="C205">
            <v>9.6926771104335785E-2</v>
          </cell>
        </row>
        <row r="206">
          <cell r="A206" t="str">
            <v>MOUNT SHASTA</v>
          </cell>
          <cell r="B206">
            <v>9.7350291907787323E-2</v>
          </cell>
          <cell r="C206">
            <v>9.7078457474708557E-2</v>
          </cell>
        </row>
        <row r="207">
          <cell r="A207" t="str">
            <v>TULELAKE</v>
          </cell>
          <cell r="B207">
            <v>9.9729031324386597E-2</v>
          </cell>
          <cell r="C207">
            <v>8.4478199481964111E-2</v>
          </cell>
        </row>
        <row r="208">
          <cell r="A208" t="str">
            <v>LAKE SOLANO</v>
          </cell>
          <cell r="B208">
            <v>0.27849999070167542</v>
          </cell>
          <cell r="C208">
            <v>0.11661592870950699</v>
          </cell>
        </row>
        <row r="209">
          <cell r="A209" t="str">
            <v>PETALUMA FIRE STA 2</v>
          </cell>
          <cell r="B209">
            <v>9.9410854279994965E-2</v>
          </cell>
          <cell r="C209">
            <v>0.14421799778938293</v>
          </cell>
        </row>
        <row r="210">
          <cell r="A210" t="str">
            <v>SEBASTOPOL</v>
          </cell>
          <cell r="B210">
            <v>9.9089153110980988E-2</v>
          </cell>
          <cell r="C210">
            <v>0.19099408388137817</v>
          </cell>
        </row>
        <row r="211">
          <cell r="A211" t="str">
            <v>THE GEYSERS</v>
          </cell>
          <cell r="B211">
            <v>0.17174997925758362</v>
          </cell>
          <cell r="C211">
            <v>0.17235688865184784</v>
          </cell>
        </row>
        <row r="212">
          <cell r="A212" t="str">
            <v>VENADO</v>
          </cell>
          <cell r="B212">
            <v>9.9493049085140228E-2</v>
          </cell>
          <cell r="C212">
            <v>0.19690568745136261</v>
          </cell>
        </row>
        <row r="213">
          <cell r="A213" t="str">
            <v>MODESTO 2</v>
          </cell>
          <cell r="B213">
            <v>9.9169455468654633E-2</v>
          </cell>
          <cell r="C213">
            <v>9.8462842404842377E-2</v>
          </cell>
        </row>
        <row r="214">
          <cell r="A214" t="str">
            <v>MINERAL</v>
          </cell>
          <cell r="B214">
            <v>0.19664059579372406</v>
          </cell>
          <cell r="C214">
            <v>0.19056031107902527</v>
          </cell>
        </row>
        <row r="215">
          <cell r="A215" t="str">
            <v>PASKENTA RANGER STN</v>
          </cell>
          <cell r="B215">
            <v>0.30850031971931458</v>
          </cell>
          <cell r="C215">
            <v>9.9146895110607147E-2</v>
          </cell>
        </row>
        <row r="216">
          <cell r="A216" t="str">
            <v>RED BLUFF AP</v>
          </cell>
          <cell r="B216">
            <v>2.2466674447059631E-2</v>
          </cell>
          <cell r="C216">
            <v>9.0002141892910004E-2</v>
          </cell>
        </row>
        <row r="217">
          <cell r="A217" t="str">
            <v>COFFEE CREEK R S</v>
          </cell>
          <cell r="B217">
            <v>9.9366024136543274E-2</v>
          </cell>
          <cell r="C217">
            <v>0.19387568533420563</v>
          </cell>
        </row>
        <row r="218">
          <cell r="A218" t="str">
            <v>HYAMPOM</v>
          </cell>
          <cell r="B218">
            <v>9.9629998207092285E-2</v>
          </cell>
          <cell r="C218">
            <v>9.9114373326301575E-2</v>
          </cell>
        </row>
        <row r="219">
          <cell r="A219" t="str">
            <v>WEAVERVILLE RS</v>
          </cell>
          <cell r="B219">
            <v>0.19662494957447052</v>
          </cell>
          <cell r="C219">
            <v>9.7388863563537598E-2</v>
          </cell>
        </row>
        <row r="220">
          <cell r="A220" t="str">
            <v>BADGER</v>
          </cell>
          <cell r="B220">
            <v>0.49439993500709534</v>
          </cell>
          <cell r="C220">
            <v>0.17684046924114227</v>
          </cell>
        </row>
        <row r="221">
          <cell r="A221" t="str">
            <v>EXETER FAUVER RANCH</v>
          </cell>
          <cell r="B221">
            <v>0.20450003445148468</v>
          </cell>
          <cell r="C221">
            <v>9.1710872948169708E-2</v>
          </cell>
        </row>
        <row r="222">
          <cell r="A222" t="str">
            <v>GRANT GROVE</v>
          </cell>
          <cell r="B222">
            <v>3.048748254776001</v>
          </cell>
          <cell r="C222">
            <v>0.14582836627960205</v>
          </cell>
        </row>
        <row r="223">
          <cell r="A223" t="str">
            <v>LODGEPOLE</v>
          </cell>
          <cell r="B223">
            <v>9.9485263228416443E-2</v>
          </cell>
          <cell r="C223">
            <v>0.19854949414730072</v>
          </cell>
        </row>
        <row r="224">
          <cell r="A224" t="str">
            <v>MILO 5 NE</v>
          </cell>
          <cell r="B224">
            <v>0.45749932527542114</v>
          </cell>
          <cell r="C224">
            <v>0.17532877624034882</v>
          </cell>
        </row>
        <row r="225">
          <cell r="A225" t="str">
            <v>SPRINGVILLE R S</v>
          </cell>
          <cell r="B225">
            <v>0.19352780282497406</v>
          </cell>
          <cell r="C225">
            <v>0.11263330280780792</v>
          </cell>
        </row>
        <row r="226">
          <cell r="A226" t="str">
            <v>SPRINGVILLE TULE HD</v>
          </cell>
          <cell r="B226">
            <v>9.9662452936172485E-2</v>
          </cell>
          <cell r="C226">
            <v>0.19385203719139099</v>
          </cell>
        </row>
        <row r="227">
          <cell r="A227" t="str">
            <v>THREE RIVERS 6 SE</v>
          </cell>
          <cell r="B227">
            <v>9.9125005304813385E-2</v>
          </cell>
          <cell r="C227">
            <v>0.13911245763301849</v>
          </cell>
        </row>
        <row r="228">
          <cell r="A228" t="str">
            <v>THREE RIVERS EDISON PH</v>
          </cell>
          <cell r="B228">
            <v>0.4639994204044342</v>
          </cell>
          <cell r="C228">
            <v>0.13717018067836761</v>
          </cell>
        </row>
        <row r="229">
          <cell r="A229" t="str">
            <v>UHL R S</v>
          </cell>
          <cell r="B229">
            <v>0.19102272391319275</v>
          </cell>
          <cell r="C229">
            <v>0.19188901782035828</v>
          </cell>
        </row>
        <row r="230">
          <cell r="A230" t="str">
            <v>GROVELAND 2</v>
          </cell>
          <cell r="B230">
            <v>0.68349945545196533</v>
          </cell>
          <cell r="C230">
            <v>0.14287732541561127</v>
          </cell>
        </row>
        <row r="231">
          <cell r="A231" t="str">
            <v>HETCH HETCHY</v>
          </cell>
          <cell r="B231">
            <v>0.99175113439559937</v>
          </cell>
          <cell r="C231">
            <v>0.10427410155534744</v>
          </cell>
        </row>
        <row r="232">
          <cell r="A232" t="str">
            <v>PINECREST SUMMIT R S</v>
          </cell>
          <cell r="B232">
            <v>0.91500270366668701</v>
          </cell>
          <cell r="C232">
            <v>0.11429163068532944</v>
          </cell>
        </row>
        <row r="233">
          <cell r="A233" t="str">
            <v>CHUCHUPATE RANGER STN</v>
          </cell>
          <cell r="B233">
            <v>9.9584393203258514E-2</v>
          </cell>
          <cell r="C233">
            <v>9.9558204412460327E-2</v>
          </cell>
        </row>
        <row r="234">
          <cell r="A234" t="str">
            <v>MATILIJA DAM</v>
          </cell>
          <cell r="B234">
            <v>9.9056899547576904E-2</v>
          </cell>
          <cell r="C234">
            <v>0.29512661695480347</v>
          </cell>
        </row>
        <row r="235">
          <cell r="A235" t="str">
            <v>PINE MOUNTAIN INN</v>
          </cell>
          <cell r="B235">
            <v>9.8971113562583923E-2</v>
          </cell>
          <cell r="C235">
            <v>0.29027846455574036</v>
          </cell>
        </row>
        <row r="236">
          <cell r="A236" t="str">
            <v>DAVIS 2 WSW EXP FARM</v>
          </cell>
          <cell r="B236">
            <v>6.5090924501419067E-2</v>
          </cell>
          <cell r="C236">
            <v>9.3790873885154724E-2</v>
          </cell>
        </row>
        <row r="237">
          <cell r="A237" t="str">
            <v>CAMPTONVILLE R S</v>
          </cell>
          <cell r="B237">
            <v>0.19666667282581329</v>
          </cell>
          <cell r="C237">
            <v>0.17906999588012695</v>
          </cell>
        </row>
        <row r="238">
          <cell r="A238" t="str">
            <v>WHEATLAND 2 NE</v>
          </cell>
          <cell r="B238">
            <v>0.11466659605503082</v>
          </cell>
          <cell r="C238">
            <v>9.869983047246933E-2</v>
          </cell>
        </row>
        <row r="239">
          <cell r="A239" t="str">
            <v>INDEPENDENCE</v>
          </cell>
          <cell r="B239">
            <v>9.9864058196544647E-2</v>
          </cell>
          <cell r="C239">
            <v>9.9385455250740051E-2</v>
          </cell>
        </row>
        <row r="240">
          <cell r="A240" t="str">
            <v>LORAINE</v>
          </cell>
          <cell r="B240">
            <v>0.19720005989074707</v>
          </cell>
          <cell r="C240">
            <v>9.6728518605232239E-2</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hyperlink" Target="http://www.globe.gov/tctg/bulkden.pdf?sectionID=94" TargetMode="External"/><Relationship Id="rId7" Type="http://schemas.openxmlformats.org/officeDocument/2006/relationships/ctrlProp" Target="../ctrlProps/ctrlProp50.xml"/><Relationship Id="rId2" Type="http://schemas.openxmlformats.org/officeDocument/2006/relationships/hyperlink" Target="http://www.globe.gov/sda/tg/pardensity.pdf" TargetMode="External"/><Relationship Id="rId1" Type="http://schemas.openxmlformats.org/officeDocument/2006/relationships/hyperlink" Target="http://soils.usda.gov/sqi/management/files/sq_utn_2.pdf" TargetMode="External"/><Relationship Id="rId6" Type="http://schemas.openxmlformats.org/officeDocument/2006/relationships/vmlDrawing" Target="../drawings/vmlDrawing6.vml"/><Relationship Id="rId5" Type="http://schemas.openxmlformats.org/officeDocument/2006/relationships/drawing" Target="../drawings/drawing6.xml"/><Relationship Id="rId4"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abmphandbook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3" Type="http://schemas.openxmlformats.org/officeDocument/2006/relationships/ctrlProp" Target="../ctrlProps/ctrlProp31.x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ctrlProp" Target="../ctrlProps/ctrlProp44.xml"/><Relationship Id="rId7" Type="http://schemas.openxmlformats.org/officeDocument/2006/relationships/ctrlProp" Target="../ctrlProps/ctrlProp48.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U21" sqref="U21"/>
    </sheetView>
  </sheetViews>
  <sheetFormatPr defaultRowHeight="12.75"/>
  <cols>
    <col min="4" max="4" width="12.42578125" bestFit="1" customWidth="1"/>
  </cols>
  <sheetData>
    <row r="1" spans="1:12">
      <c r="A1" s="336" t="s">
        <v>543</v>
      </c>
      <c r="B1" s="337"/>
      <c r="C1" s="337"/>
      <c r="D1" s="337"/>
      <c r="E1" s="337"/>
      <c r="F1" s="337"/>
      <c r="G1" s="337"/>
      <c r="H1" s="337"/>
      <c r="I1" s="337"/>
      <c r="J1" s="337"/>
      <c r="K1" s="337"/>
      <c r="L1" s="337"/>
    </row>
    <row r="2" spans="1:12">
      <c r="A2" s="337"/>
      <c r="B2" s="337"/>
      <c r="C2" s="337"/>
      <c r="D2" s="337"/>
      <c r="E2" s="337"/>
      <c r="F2" s="337"/>
      <c r="G2" s="337"/>
      <c r="H2" s="337"/>
      <c r="I2" s="337"/>
      <c r="J2" s="337"/>
      <c r="K2" s="337"/>
      <c r="L2" s="337"/>
    </row>
    <row r="3" spans="1:12">
      <c r="A3" s="338" t="s">
        <v>545</v>
      </c>
      <c r="B3" s="339"/>
      <c r="C3" s="339"/>
      <c r="D3" s="339"/>
      <c r="E3" s="339"/>
      <c r="F3" s="339"/>
      <c r="G3" s="339"/>
      <c r="H3" s="339"/>
      <c r="I3" s="339"/>
      <c r="J3" s="339"/>
      <c r="K3" s="339"/>
      <c r="L3" s="339"/>
    </row>
    <row r="4" spans="1:12">
      <c r="A4" s="339"/>
      <c r="B4" s="339"/>
      <c r="C4" s="339"/>
      <c r="D4" s="339"/>
      <c r="E4" s="339"/>
      <c r="F4" s="339"/>
      <c r="G4" s="339"/>
      <c r="H4" s="339"/>
      <c r="I4" s="339"/>
      <c r="J4" s="339"/>
      <c r="K4" s="339"/>
      <c r="L4" s="339"/>
    </row>
    <row r="5" spans="1:12">
      <c r="A5" s="339"/>
      <c r="B5" s="339"/>
      <c r="C5" s="339"/>
      <c r="D5" s="339"/>
      <c r="E5" s="339"/>
      <c r="F5" s="339"/>
      <c r="G5" s="339"/>
      <c r="H5" s="339"/>
      <c r="I5" s="339"/>
      <c r="J5" s="339"/>
      <c r="K5" s="339"/>
      <c r="L5" s="339"/>
    </row>
    <row r="6" spans="1:12">
      <c r="A6" s="339"/>
      <c r="B6" s="339"/>
      <c r="C6" s="339"/>
      <c r="D6" s="339"/>
      <c r="E6" s="339"/>
      <c r="F6" s="339"/>
      <c r="G6" s="339"/>
      <c r="H6" s="339"/>
      <c r="I6" s="339"/>
      <c r="J6" s="339"/>
      <c r="K6" s="339"/>
      <c r="L6" s="339"/>
    </row>
    <row r="7" spans="1:12">
      <c r="A7" s="339"/>
      <c r="B7" s="339"/>
      <c r="C7" s="339"/>
      <c r="D7" s="339"/>
      <c r="E7" s="339"/>
      <c r="F7" s="339"/>
      <c r="G7" s="339"/>
      <c r="H7" s="339"/>
      <c r="I7" s="339"/>
      <c r="J7" s="339"/>
      <c r="K7" s="339"/>
      <c r="L7" s="339"/>
    </row>
    <row r="8" spans="1:12">
      <c r="A8" s="339"/>
      <c r="B8" s="339"/>
      <c r="C8" s="339"/>
      <c r="D8" s="339"/>
      <c r="E8" s="339"/>
      <c r="F8" s="339"/>
      <c r="G8" s="339"/>
      <c r="H8" s="339"/>
      <c r="I8" s="339"/>
      <c r="J8" s="339"/>
      <c r="K8" s="339"/>
      <c r="L8" s="339"/>
    </row>
    <row r="9" spans="1:12">
      <c r="A9" s="338" t="s">
        <v>544</v>
      </c>
      <c r="B9" s="338"/>
      <c r="C9" s="338"/>
      <c r="D9" s="338"/>
      <c r="E9" s="338"/>
      <c r="F9" s="338"/>
      <c r="G9" s="338"/>
      <c r="H9" s="338"/>
      <c r="I9" s="338"/>
      <c r="J9" s="338"/>
      <c r="K9" s="338"/>
      <c r="L9" s="338"/>
    </row>
    <row r="10" spans="1:12">
      <c r="A10" s="338"/>
      <c r="B10" s="338"/>
      <c r="C10" s="338"/>
      <c r="D10" s="338"/>
      <c r="E10" s="338"/>
      <c r="F10" s="338"/>
      <c r="G10" s="338"/>
      <c r="H10" s="338"/>
      <c r="I10" s="338"/>
      <c r="J10" s="338"/>
      <c r="K10" s="338"/>
      <c r="L10" s="338"/>
    </row>
    <row r="11" spans="1:12">
      <c r="A11" s="338"/>
      <c r="B11" s="338"/>
      <c r="C11" s="338"/>
      <c r="D11" s="338"/>
      <c r="E11" s="338"/>
      <c r="F11" s="338"/>
      <c r="G11" s="338"/>
      <c r="H11" s="338"/>
      <c r="I11" s="338"/>
      <c r="J11" s="338"/>
      <c r="K11" s="338"/>
      <c r="L11" s="338"/>
    </row>
    <row r="12" spans="1:12">
      <c r="A12" s="338"/>
      <c r="B12" s="338"/>
      <c r="C12" s="338"/>
      <c r="D12" s="338"/>
      <c r="E12" s="338"/>
      <c r="F12" s="338"/>
      <c r="G12" s="338"/>
      <c r="H12" s="338"/>
      <c r="I12" s="338"/>
      <c r="J12" s="338"/>
      <c r="K12" s="338"/>
      <c r="L12" s="338"/>
    </row>
    <row r="13" spans="1:12">
      <c r="A13" s="338"/>
      <c r="B13" s="338"/>
      <c r="C13" s="338"/>
      <c r="D13" s="338"/>
      <c r="E13" s="338"/>
      <c r="F13" s="338"/>
      <c r="G13" s="338"/>
      <c r="H13" s="338"/>
      <c r="I13" s="338"/>
      <c r="J13" s="338"/>
      <c r="K13" s="338"/>
      <c r="L13" s="338"/>
    </row>
    <row r="14" spans="1:12">
      <c r="A14" s="335"/>
      <c r="B14" s="335"/>
      <c r="C14" s="335"/>
      <c r="D14" s="335"/>
      <c r="E14" s="335"/>
      <c r="F14" s="335"/>
      <c r="G14" s="335"/>
      <c r="H14" s="335"/>
      <c r="I14" s="335"/>
      <c r="J14" s="335"/>
      <c r="K14" s="335"/>
      <c r="L14" s="335"/>
    </row>
    <row r="15" spans="1:12">
      <c r="A15" s="335"/>
      <c r="B15" s="335"/>
      <c r="C15" s="335"/>
      <c r="D15" s="335"/>
      <c r="E15" s="335"/>
      <c r="F15" s="335"/>
      <c r="G15" s="335"/>
      <c r="H15" s="335"/>
      <c r="I15" s="335"/>
      <c r="J15" s="335"/>
      <c r="K15" s="335"/>
      <c r="L15" s="335"/>
    </row>
  </sheetData>
  <mergeCells count="3">
    <mergeCell ref="A1:L2"/>
    <mergeCell ref="A3:L8"/>
    <mergeCell ref="A9:L13"/>
  </mergeCells>
  <phoneticPr fontId="48"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F6" sqref="F6"/>
    </sheetView>
  </sheetViews>
  <sheetFormatPr defaultRowHeight="12.75"/>
  <cols>
    <col min="1" max="1" width="59.140625" customWidth="1"/>
    <col min="3" max="3" width="16.5703125" customWidth="1"/>
    <col min="5" max="5" width="11.42578125" customWidth="1"/>
  </cols>
  <sheetData>
    <row r="1" spans="1:7" ht="15.75">
      <c r="A1" s="43" t="s">
        <v>145</v>
      </c>
      <c r="B1" s="44"/>
      <c r="C1" s="44"/>
      <c r="D1" s="44"/>
      <c r="E1" s="44"/>
      <c r="F1" s="68"/>
      <c r="G1" s="252"/>
    </row>
    <row r="2" spans="1:7" ht="15.75" thickBot="1">
      <c r="A2" s="457" t="s">
        <v>132</v>
      </c>
      <c r="B2" s="457"/>
      <c r="C2" s="457"/>
      <c r="D2" s="457"/>
      <c r="E2" s="457"/>
      <c r="F2" s="457"/>
      <c r="G2" s="457"/>
    </row>
    <row r="3" spans="1:7" ht="16.5" thickBot="1">
      <c r="A3" s="69" t="s">
        <v>110</v>
      </c>
      <c r="B3" s="70"/>
      <c r="C3" s="70"/>
      <c r="D3" s="70"/>
      <c r="E3" s="238" t="s">
        <v>49</v>
      </c>
      <c r="F3" s="44"/>
      <c r="G3" s="252"/>
    </row>
    <row r="4" spans="1:7" ht="28.5" customHeight="1" thickBot="1">
      <c r="A4" s="237" t="s">
        <v>10</v>
      </c>
      <c r="B4" s="236"/>
      <c r="C4" s="236"/>
      <c r="D4" s="236"/>
      <c r="E4" s="239"/>
      <c r="F4" s="44"/>
      <c r="G4" s="252"/>
    </row>
    <row r="5" spans="1:7" ht="39" customHeight="1" thickBot="1">
      <c r="A5" s="71" t="s">
        <v>9</v>
      </c>
      <c r="B5" s="72"/>
      <c r="C5" s="72"/>
      <c r="D5" s="72"/>
      <c r="E5" s="240"/>
      <c r="F5" s="44"/>
      <c r="G5" s="252"/>
    </row>
    <row r="6" spans="1:7" ht="27.75" customHeight="1">
      <c r="A6" s="71" t="s">
        <v>84</v>
      </c>
      <c r="B6" s="72"/>
      <c r="C6" s="72"/>
      <c r="D6" s="72"/>
      <c r="E6" s="334">
        <f>(E4*E5)/7.48*0.9</f>
        <v>0</v>
      </c>
      <c r="F6" s="44"/>
      <c r="G6" s="252"/>
    </row>
    <row r="7" spans="1:7" ht="13.5" thickBot="1">
      <c r="A7" s="73"/>
      <c r="B7" s="74"/>
      <c r="C7" s="74"/>
      <c r="D7" s="74"/>
      <c r="E7" s="75"/>
      <c r="F7" s="63"/>
      <c r="G7" s="257"/>
    </row>
    <row r="8" spans="1:7">
      <c r="A8" s="63"/>
      <c r="B8" s="63"/>
      <c r="C8" s="63"/>
      <c r="D8" s="63"/>
      <c r="E8" s="63"/>
      <c r="F8" s="63"/>
      <c r="G8" s="257"/>
    </row>
    <row r="9" spans="1:7" ht="14.25">
      <c r="A9" s="76" t="s">
        <v>20</v>
      </c>
      <c r="B9" s="77"/>
      <c r="C9" s="63"/>
      <c r="D9" s="135" t="s">
        <v>53</v>
      </c>
      <c r="E9" s="63"/>
      <c r="F9" s="257"/>
    </row>
  </sheetData>
  <mergeCells count="1">
    <mergeCell ref="A2:G2"/>
  </mergeCells>
  <phoneticPr fontId="48" type="noConversion"/>
  <hyperlinks>
    <hyperlink ref="D9" location="'Volume Calculator'!A1" display="Return to Calculator"/>
  </hyperlinks>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45"/>
  </sheetPr>
  <dimension ref="A1:Q26"/>
  <sheetViews>
    <sheetView zoomScale="125" zoomScaleNormal="120" workbookViewId="0">
      <selection activeCell="G15" sqref="G15"/>
    </sheetView>
  </sheetViews>
  <sheetFormatPr defaultColWidth="8.85546875" defaultRowHeight="11.25"/>
  <cols>
    <col min="1" max="1" width="27.140625" style="112" bestFit="1" customWidth="1"/>
    <col min="2" max="2" width="8.85546875" style="112" customWidth="1"/>
    <col min="3" max="3" width="0.42578125" style="112" hidden="1" customWidth="1"/>
    <col min="4" max="4" width="0.140625" style="112" customWidth="1"/>
    <col min="5" max="5" width="12.85546875" style="112" customWidth="1"/>
    <col min="6" max="6" width="13.28515625" style="112" customWidth="1"/>
    <col min="7" max="7" width="39.42578125" style="112" customWidth="1"/>
    <col min="8" max="8" width="8.42578125" style="112" hidden="1" customWidth="1"/>
    <col min="9" max="9" width="17" style="114" hidden="1" customWidth="1"/>
    <col min="10" max="10" width="8.42578125" style="133" hidden="1" customWidth="1"/>
    <col min="11" max="11" width="8.85546875" style="133" hidden="1" customWidth="1"/>
    <col min="12" max="12" width="7.85546875" style="133" hidden="1" customWidth="1"/>
    <col min="13" max="13" width="9.28515625" style="133" hidden="1" customWidth="1"/>
    <col min="14" max="15" width="7.85546875" style="133" hidden="1" customWidth="1"/>
    <col min="16" max="16" width="8.85546875" style="133" customWidth="1"/>
    <col min="17" max="17" width="8.85546875" style="134" customWidth="1"/>
    <col min="18" max="18" width="8.85546875" style="112" customWidth="1"/>
    <col min="19" max="16384" width="8.85546875" style="112"/>
  </cols>
  <sheetData>
    <row r="1" spans="1:17">
      <c r="A1" s="111"/>
      <c r="F1" s="113"/>
      <c r="J1" s="114"/>
      <c r="K1" s="114"/>
      <c r="L1" s="114"/>
      <c r="M1" s="114"/>
      <c r="N1" s="114"/>
      <c r="O1" s="114"/>
      <c r="P1" s="114"/>
      <c r="Q1" s="112"/>
    </row>
    <row r="2" spans="1:17" ht="12" customHeight="1" thickBot="1">
      <c r="A2" s="523" t="s">
        <v>129</v>
      </c>
      <c r="B2" s="523"/>
      <c r="C2" s="523"/>
      <c r="D2" s="523"/>
      <c r="E2" s="523"/>
      <c r="F2" s="523"/>
      <c r="G2" s="523"/>
      <c r="H2" s="115"/>
      <c r="J2" s="114"/>
      <c r="K2" s="114"/>
      <c r="L2" s="114"/>
      <c r="M2" s="114"/>
      <c r="N2" s="114"/>
      <c r="O2" s="114"/>
      <c r="P2" s="114"/>
      <c r="Q2" s="112"/>
    </row>
    <row r="3" spans="1:17" hidden="1">
      <c r="A3" s="116"/>
      <c r="J3" s="114"/>
      <c r="K3" s="114"/>
      <c r="L3" s="114"/>
      <c r="M3" s="114"/>
      <c r="N3" s="114"/>
      <c r="O3" s="114"/>
      <c r="P3" s="114"/>
      <c r="Q3" s="112"/>
    </row>
    <row r="4" spans="1:17" hidden="1">
      <c r="J4" s="114"/>
      <c r="K4" s="114"/>
      <c r="L4" s="114"/>
      <c r="M4" s="114"/>
      <c r="N4" s="114"/>
      <c r="O4" s="114"/>
      <c r="P4" s="114"/>
      <c r="Q4" s="112"/>
    </row>
    <row r="5" spans="1:17" ht="12" hidden="1" thickBot="1">
      <c r="J5" s="114"/>
      <c r="K5" s="114"/>
      <c r="L5" s="114"/>
      <c r="M5" s="114"/>
      <c r="N5" s="114"/>
      <c r="O5" s="114"/>
      <c r="P5" s="114"/>
      <c r="Q5" s="112"/>
    </row>
    <row r="6" spans="1:17" ht="18" customHeight="1" thickBot="1">
      <c r="A6" s="524"/>
      <c r="B6" s="525"/>
      <c r="C6" s="525"/>
      <c r="D6" s="525"/>
      <c r="E6" s="525"/>
      <c r="F6" s="526"/>
      <c r="G6" s="117" t="s">
        <v>49</v>
      </c>
      <c r="H6" s="118"/>
      <c r="J6" s="114"/>
      <c r="K6" s="114"/>
      <c r="L6" s="114"/>
      <c r="M6" s="114"/>
      <c r="N6" s="114"/>
      <c r="O6" s="114"/>
      <c r="P6" s="114"/>
      <c r="Q6" s="112"/>
    </row>
    <row r="7" spans="1:17" ht="18" customHeight="1">
      <c r="A7" s="532"/>
      <c r="B7" s="532"/>
      <c r="C7" s="532"/>
      <c r="D7" s="532"/>
      <c r="E7" s="532"/>
      <c r="F7" s="532"/>
      <c r="G7" s="320"/>
      <c r="H7" s="118"/>
      <c r="J7" s="114"/>
      <c r="K7" s="114"/>
      <c r="L7" s="114"/>
      <c r="M7" s="114"/>
      <c r="N7" s="114"/>
      <c r="O7" s="114"/>
      <c r="P7" s="114"/>
      <c r="Q7" s="112"/>
    </row>
    <row r="8" spans="1:17" ht="41.1" customHeight="1">
      <c r="A8" s="527" t="s">
        <v>79</v>
      </c>
      <c r="B8" s="528"/>
      <c r="C8" s="528"/>
      <c r="D8" s="528"/>
      <c r="E8" s="528"/>
      <c r="F8" s="529"/>
      <c r="G8" s="319"/>
      <c r="H8" s="119"/>
      <c r="J8" s="317">
        <v>2</v>
      </c>
      <c r="K8" s="114"/>
      <c r="L8" s="114"/>
      <c r="M8" s="114"/>
      <c r="N8" s="114"/>
      <c r="O8" s="114"/>
      <c r="P8" s="114"/>
      <c r="Q8" s="112"/>
    </row>
    <row r="9" spans="1:17" ht="36" customHeight="1">
      <c r="A9" s="530" t="s">
        <v>0</v>
      </c>
      <c r="B9" s="530"/>
      <c r="C9" s="530"/>
      <c r="D9" s="530"/>
      <c r="E9" s="530"/>
      <c r="F9" s="531"/>
      <c r="G9" s="248"/>
      <c r="H9" s="120"/>
      <c r="J9" s="114"/>
      <c r="K9" s="114"/>
      <c r="L9" s="114"/>
      <c r="M9" s="114">
        <f>IF(G9="",M10,G9)</f>
        <v>0</v>
      </c>
      <c r="N9" s="114"/>
      <c r="O9" s="114"/>
      <c r="P9" s="114"/>
      <c r="Q9" s="112"/>
    </row>
    <row r="10" spans="1:17" ht="36" customHeight="1">
      <c r="A10" s="530" t="s">
        <v>199</v>
      </c>
      <c r="B10" s="530"/>
      <c r="C10" s="530"/>
      <c r="D10" s="530"/>
      <c r="E10" s="530"/>
      <c r="F10" s="531"/>
      <c r="G10" s="249" t="s">
        <v>26</v>
      </c>
      <c r="H10" s="121"/>
      <c r="J10" s="114"/>
      <c r="K10" s="114"/>
      <c r="L10" s="114"/>
      <c r="M10" s="114">
        <f>IF(G10="Soil Type",0,VLOOKUP(G10,M14:N20,2,0))</f>
        <v>0</v>
      </c>
      <c r="N10" s="114"/>
      <c r="O10" s="114"/>
      <c r="P10" s="114"/>
      <c r="Q10" s="112"/>
    </row>
    <row r="11" spans="1:17" ht="36" customHeight="1">
      <c r="A11" s="522" t="s">
        <v>534</v>
      </c>
      <c r="B11" s="522"/>
      <c r="C11" s="522"/>
      <c r="D11" s="522"/>
      <c r="E11" s="522"/>
      <c r="F11" s="522"/>
      <c r="G11" s="249"/>
      <c r="H11" s="122"/>
      <c r="J11" s="114"/>
      <c r="K11" s="114"/>
      <c r="L11" s="114"/>
      <c r="M11" s="114"/>
      <c r="N11" s="114"/>
      <c r="O11" s="114"/>
      <c r="P11" s="114"/>
      <c r="Q11" s="112"/>
    </row>
    <row r="12" spans="1:17" ht="36" customHeight="1">
      <c r="A12" s="522" t="s">
        <v>533</v>
      </c>
      <c r="B12" s="522"/>
      <c r="C12" s="522"/>
      <c r="D12" s="522"/>
      <c r="E12" s="522"/>
      <c r="F12" s="522"/>
      <c r="G12" s="249"/>
      <c r="H12" s="122"/>
      <c r="J12" s="114"/>
      <c r="K12" s="114"/>
      <c r="L12" s="114"/>
      <c r="M12" s="114"/>
      <c r="N12" s="114"/>
      <c r="O12" s="114"/>
      <c r="P12" s="114"/>
      <c r="Q12" s="112"/>
    </row>
    <row r="13" spans="1:17" ht="12.75">
      <c r="A13" s="521"/>
      <c r="B13" s="521"/>
      <c r="C13" s="521"/>
      <c r="D13" s="521"/>
      <c r="E13" s="521"/>
      <c r="F13" s="521"/>
      <c r="G13" s="136" t="s">
        <v>53</v>
      </c>
      <c r="H13" s="123"/>
      <c r="J13" s="114"/>
      <c r="K13" s="114"/>
      <c r="L13" s="114"/>
      <c r="M13" s="114" t="s">
        <v>26</v>
      </c>
      <c r="N13" s="114"/>
      <c r="O13" s="114"/>
      <c r="P13" s="114"/>
      <c r="Q13" s="112"/>
    </row>
    <row r="14" spans="1:17">
      <c r="A14" s="124" t="s">
        <v>121</v>
      </c>
      <c r="J14" s="114"/>
      <c r="K14" s="114"/>
      <c r="L14" s="114"/>
      <c r="M14" s="114" t="s">
        <v>89</v>
      </c>
      <c r="N14" s="114">
        <v>1.6</v>
      </c>
      <c r="O14" s="114"/>
      <c r="P14" s="114"/>
      <c r="Q14" s="112"/>
    </row>
    <row r="15" spans="1:17">
      <c r="A15" s="125" t="s">
        <v>89</v>
      </c>
      <c r="B15" s="126" t="s">
        <v>117</v>
      </c>
      <c r="F15" s="332" t="s">
        <v>537</v>
      </c>
      <c r="G15" s="333" t="str">
        <f>IF(G10="Soil Type","",IF('Volume Calculator'!H6="Soil Type",0,IF(H15-(VLOOKUP('Volume Calculator'!H6,'No Edit'!G2:J5,4,0))&lt;=0,0,(H15-(VLOOKUP('Volume Calculator'!H6,'No Edit'!G2:J5,4,0)))*(80/100)*J16)))</f>
        <v/>
      </c>
      <c r="H15" s="318" t="str">
        <f>IF(M9=0,"",M9)</f>
        <v/>
      </c>
      <c r="J15" s="114" t="s">
        <v>536</v>
      </c>
      <c r="K15" s="114"/>
      <c r="L15" s="114"/>
      <c r="M15" s="114" t="s">
        <v>116</v>
      </c>
      <c r="N15" s="114">
        <v>1.4</v>
      </c>
      <c r="O15" s="114"/>
      <c r="P15" s="114"/>
      <c r="Q15" s="112"/>
    </row>
    <row r="16" spans="1:17">
      <c r="A16" s="127" t="s">
        <v>116</v>
      </c>
      <c r="B16" s="128" t="s">
        <v>118</v>
      </c>
      <c r="J16" s="114">
        <f>SUM(((G11/12)*G12*43560))</f>
        <v>0</v>
      </c>
      <c r="K16" s="114" t="s">
        <v>202</v>
      </c>
      <c r="L16" s="114"/>
      <c r="M16" s="114" t="s">
        <v>85</v>
      </c>
      <c r="N16" s="114">
        <v>1.4</v>
      </c>
      <c r="O16" s="114"/>
      <c r="P16" s="114"/>
      <c r="Q16" s="112"/>
    </row>
    <row r="17" spans="1:17" ht="11.25" customHeight="1">
      <c r="A17" s="127" t="s">
        <v>85</v>
      </c>
      <c r="B17" s="128" t="s">
        <v>118</v>
      </c>
      <c r="G17" s="331"/>
      <c r="H17" s="129"/>
      <c r="J17" s="114"/>
      <c r="K17" s="114"/>
      <c r="L17" s="114"/>
      <c r="M17" s="114" t="s">
        <v>86</v>
      </c>
      <c r="N17" s="114">
        <v>1.3</v>
      </c>
      <c r="O17" s="114"/>
      <c r="P17" s="114"/>
      <c r="Q17" s="112"/>
    </row>
    <row r="18" spans="1:17">
      <c r="A18" s="127" t="s">
        <v>86</v>
      </c>
      <c r="B18" s="128" t="s">
        <v>119</v>
      </c>
      <c r="G18" s="331"/>
      <c r="H18" s="129"/>
      <c r="J18" s="114"/>
      <c r="K18" s="114"/>
      <c r="L18" s="114"/>
      <c r="M18" s="114" t="s">
        <v>87</v>
      </c>
      <c r="N18" s="114">
        <v>1.1000000000000001</v>
      </c>
      <c r="O18" s="114"/>
      <c r="P18" s="114"/>
      <c r="Q18" s="112"/>
    </row>
    <row r="19" spans="1:17">
      <c r="A19" s="127" t="s">
        <v>87</v>
      </c>
      <c r="B19" s="128" t="s">
        <v>120</v>
      </c>
      <c r="G19" s="331"/>
      <c r="H19" s="129"/>
      <c r="J19" s="114"/>
      <c r="K19" s="114"/>
      <c r="L19" s="114"/>
      <c r="M19" s="114" t="s">
        <v>130</v>
      </c>
      <c r="N19" s="114">
        <v>1.1000000000000001</v>
      </c>
      <c r="O19" s="114"/>
      <c r="P19" s="114"/>
      <c r="Q19" s="112"/>
    </row>
    <row r="20" spans="1:17" ht="22.5">
      <c r="A20" s="127" t="s">
        <v>130</v>
      </c>
      <c r="B20" s="128" t="s">
        <v>120</v>
      </c>
      <c r="G20" s="331"/>
      <c r="H20" s="129"/>
      <c r="J20" s="114"/>
      <c r="K20" s="114"/>
      <c r="L20" s="114"/>
      <c r="M20" s="114" t="s">
        <v>88</v>
      </c>
      <c r="N20" s="114">
        <v>1.1000000000000001</v>
      </c>
      <c r="O20" s="114"/>
      <c r="P20" s="114"/>
      <c r="Q20" s="112"/>
    </row>
    <row r="21" spans="1:17">
      <c r="A21" s="130" t="s">
        <v>88</v>
      </c>
      <c r="B21" s="131" t="s">
        <v>120</v>
      </c>
      <c r="G21" s="331"/>
      <c r="H21" s="129"/>
      <c r="J21" s="114"/>
      <c r="K21" s="114"/>
      <c r="L21" s="114"/>
      <c r="M21" s="114"/>
      <c r="N21" s="114"/>
      <c r="O21" s="114"/>
      <c r="P21" s="114"/>
      <c r="Q21" s="112"/>
    </row>
    <row r="22" spans="1:17" ht="23.25" customHeight="1">
      <c r="A22" s="520" t="s">
        <v>200</v>
      </c>
      <c r="B22" s="520"/>
      <c r="G22" s="331"/>
      <c r="H22" s="129"/>
      <c r="J22" s="114"/>
      <c r="K22" s="114"/>
      <c r="L22" s="114"/>
      <c r="M22" s="114"/>
      <c r="N22" s="114"/>
      <c r="O22" s="114"/>
      <c r="P22" s="114"/>
      <c r="Q22" s="112"/>
    </row>
    <row r="23" spans="1:17">
      <c r="A23" s="132" t="s">
        <v>279</v>
      </c>
      <c r="G23" s="331"/>
      <c r="H23" s="129"/>
      <c r="J23" s="114"/>
      <c r="K23" s="114"/>
      <c r="L23" s="114"/>
      <c r="M23" s="114"/>
      <c r="N23" s="114"/>
      <c r="O23" s="114"/>
      <c r="P23" s="114"/>
      <c r="Q23" s="112"/>
    </row>
    <row r="24" spans="1:17">
      <c r="K24" s="114"/>
      <c r="L24" s="114"/>
      <c r="M24" s="114"/>
      <c r="N24" s="114"/>
      <c r="O24" s="114"/>
      <c r="P24" s="114"/>
      <c r="Q24" s="112"/>
    </row>
    <row r="25" spans="1:17">
      <c r="A25" s="112" t="s">
        <v>115</v>
      </c>
      <c r="C25" s="132" t="s">
        <v>43</v>
      </c>
      <c r="K25" s="114"/>
      <c r="L25" s="114"/>
      <c r="M25" s="114"/>
      <c r="N25" s="114"/>
      <c r="O25" s="114"/>
      <c r="P25" s="114"/>
      <c r="Q25" s="112"/>
    </row>
    <row r="26" spans="1:17" ht="12.75">
      <c r="A26" s="330" t="s">
        <v>335</v>
      </c>
    </row>
  </sheetData>
  <sheetProtection formatRows="0"/>
  <mergeCells count="10">
    <mergeCell ref="A22:B22"/>
    <mergeCell ref="A13:F13"/>
    <mergeCell ref="A11:F11"/>
    <mergeCell ref="A12:F12"/>
    <mergeCell ref="A2:G2"/>
    <mergeCell ref="A6:F6"/>
    <mergeCell ref="A8:F8"/>
    <mergeCell ref="A10:F10"/>
    <mergeCell ref="A9:F9"/>
    <mergeCell ref="A7:F7"/>
  </mergeCells>
  <phoneticPr fontId="0" type="noConversion"/>
  <dataValidations count="1">
    <dataValidation type="list" allowBlank="1" showInputMessage="1" showErrorMessage="1" sqref="G10:H10">
      <formula1>Soil3</formula1>
    </dataValidation>
  </dataValidations>
  <hyperlinks>
    <hyperlink ref="G13" location="'Volume Calculator'!A1" display="Return to Calculator"/>
    <hyperlink ref="A23" r:id="rId1"/>
    <hyperlink ref="C25" r:id="rId2"/>
    <hyperlink ref="A26" r:id="rId3"/>
  </hyperlinks>
  <pageMargins left="0.75" right="0.75" top="1" bottom="1" header="0.5" footer="0.5"/>
  <pageSetup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39" r:id="rId7" name="Option Button 15">
              <controlPr defaultSize="0" autoFill="0" autoLine="0" autoPict="0">
                <anchor moveWithCells="1">
                  <from>
                    <xdr:col>6</xdr:col>
                    <xdr:colOff>76200</xdr:colOff>
                    <xdr:row>7</xdr:row>
                    <xdr:rowOff>76200</xdr:rowOff>
                  </from>
                  <to>
                    <xdr:col>6</xdr:col>
                    <xdr:colOff>866775</xdr:colOff>
                    <xdr:row>8</xdr:row>
                    <xdr:rowOff>47625</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6</xdr:col>
                    <xdr:colOff>619125</xdr:colOff>
                    <xdr:row>7</xdr:row>
                    <xdr:rowOff>85725</xdr:rowOff>
                  </from>
                  <to>
                    <xdr:col>6</xdr:col>
                    <xdr:colOff>1628775</xdr:colOff>
                    <xdr:row>8</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239"/>
  <sheetViews>
    <sheetView topLeftCell="E1" zoomScale="57" zoomScaleNormal="57" workbookViewId="0">
      <selection activeCell="J1" sqref="J1"/>
    </sheetView>
  </sheetViews>
  <sheetFormatPr defaultRowHeight="20.25"/>
  <cols>
    <col min="1" max="1" width="80.42578125" style="89" customWidth="1"/>
    <col min="2" max="8" width="33.42578125" style="89" customWidth="1"/>
    <col min="9" max="9" width="34.85546875" style="89" customWidth="1"/>
    <col min="10" max="10" width="33.42578125" style="90" customWidth="1"/>
    <col min="11" max="11" width="49.28515625" style="90" customWidth="1"/>
    <col min="12" max="14" width="33.42578125" style="90" customWidth="1"/>
    <col min="15" max="16384" width="9.140625" style="90"/>
  </cols>
  <sheetData>
    <row r="1" spans="1:20" ht="25.5" customHeight="1">
      <c r="A1" s="99" t="s">
        <v>205</v>
      </c>
      <c r="B1" s="156" t="s">
        <v>206</v>
      </c>
      <c r="C1" s="156"/>
      <c r="D1" s="156"/>
      <c r="E1" s="101"/>
      <c r="G1" s="89" t="s">
        <v>26</v>
      </c>
      <c r="J1" s="90" t="s">
        <v>535</v>
      </c>
      <c r="N1" s="309" t="s">
        <v>340</v>
      </c>
      <c r="O1" s="533" t="s">
        <v>391</v>
      </c>
      <c r="P1" s="533"/>
      <c r="Q1" s="533"/>
      <c r="R1" s="533"/>
      <c r="S1" s="533"/>
      <c r="T1" s="533"/>
    </row>
    <row r="2" spans="1:20" ht="20.25" customHeight="1">
      <c r="A2" s="152" t="s">
        <v>438</v>
      </c>
      <c r="B2" s="157" t="s">
        <v>207</v>
      </c>
      <c r="C2" s="157" t="s">
        <v>208</v>
      </c>
      <c r="D2" s="157" t="s">
        <v>277</v>
      </c>
      <c r="E2" s="104" t="s">
        <v>278</v>
      </c>
      <c r="G2" s="89" t="s">
        <v>101</v>
      </c>
      <c r="H2" s="89">
        <v>1</v>
      </c>
      <c r="I2" s="89" t="s">
        <v>471</v>
      </c>
      <c r="J2" s="90">
        <v>1.6</v>
      </c>
      <c r="L2" s="310" t="s">
        <v>131</v>
      </c>
      <c r="M2" s="311" t="s">
        <v>479</v>
      </c>
      <c r="N2" s="312">
        <v>0</v>
      </c>
      <c r="O2" s="533"/>
      <c r="P2" s="533"/>
      <c r="Q2" s="533"/>
      <c r="R2" s="533"/>
      <c r="S2" s="533"/>
      <c r="T2" s="533"/>
    </row>
    <row r="3" spans="1:20" ht="20.25" customHeight="1">
      <c r="A3" s="158" t="s">
        <v>480</v>
      </c>
      <c r="B3" s="157">
        <v>68</v>
      </c>
      <c r="C3" s="157">
        <v>79</v>
      </c>
      <c r="D3" s="157">
        <v>86</v>
      </c>
      <c r="E3" s="104">
        <v>89</v>
      </c>
      <c r="G3" s="89" t="s">
        <v>102</v>
      </c>
      <c r="H3" s="89">
        <v>2</v>
      </c>
      <c r="I3" s="89" t="s">
        <v>472</v>
      </c>
      <c r="J3" s="90">
        <v>1.4</v>
      </c>
      <c r="L3" s="310" t="s">
        <v>140</v>
      </c>
      <c r="M3" s="313" t="s">
        <v>341</v>
      </c>
      <c r="N3" s="314">
        <v>0.78</v>
      </c>
      <c r="O3" s="533"/>
      <c r="P3" s="533"/>
      <c r="Q3" s="533"/>
      <c r="R3" s="533"/>
      <c r="S3" s="533"/>
      <c r="T3" s="533"/>
    </row>
    <row r="4" spans="1:20" ht="20.25" customHeight="1">
      <c r="A4" s="158" t="s">
        <v>481</v>
      </c>
      <c r="B4" s="157">
        <v>49</v>
      </c>
      <c r="C4" s="157">
        <v>69</v>
      </c>
      <c r="D4" s="157">
        <v>79</v>
      </c>
      <c r="E4" s="104">
        <v>84</v>
      </c>
      <c r="G4" s="89" t="s">
        <v>103</v>
      </c>
      <c r="H4" s="89">
        <v>3</v>
      </c>
      <c r="I4" s="89" t="s">
        <v>473</v>
      </c>
      <c r="J4" s="90">
        <v>1.3</v>
      </c>
      <c r="L4" s="310" t="s">
        <v>140</v>
      </c>
      <c r="M4" s="313" t="s">
        <v>209</v>
      </c>
      <c r="N4" s="314">
        <v>0.86</v>
      </c>
      <c r="O4" s="533"/>
      <c r="P4" s="533"/>
      <c r="Q4" s="533"/>
      <c r="R4" s="533"/>
      <c r="S4" s="533"/>
      <c r="T4" s="533"/>
    </row>
    <row r="5" spans="1:20" ht="20.25" customHeight="1">
      <c r="A5" s="158" t="s">
        <v>482</v>
      </c>
      <c r="B5" s="157">
        <v>39</v>
      </c>
      <c r="C5" s="157">
        <v>61</v>
      </c>
      <c r="D5" s="157">
        <v>74</v>
      </c>
      <c r="E5" s="104">
        <v>80</v>
      </c>
      <c r="G5" s="89" t="s">
        <v>104</v>
      </c>
      <c r="H5" s="89">
        <v>4</v>
      </c>
      <c r="I5" s="89" t="s">
        <v>474</v>
      </c>
      <c r="J5" s="90">
        <v>1.1000000000000001</v>
      </c>
      <c r="L5" s="310" t="s">
        <v>140</v>
      </c>
      <c r="M5" s="313" t="s">
        <v>210</v>
      </c>
      <c r="N5" s="314">
        <v>0.59</v>
      </c>
      <c r="O5" s="533"/>
      <c r="P5" s="533"/>
      <c r="Q5" s="533"/>
      <c r="R5" s="533"/>
      <c r="S5" s="533"/>
      <c r="T5" s="533"/>
    </row>
    <row r="6" spans="1:20" ht="20.25" customHeight="1">
      <c r="A6" s="158" t="s">
        <v>483</v>
      </c>
      <c r="B6" s="157">
        <v>63</v>
      </c>
      <c r="C6" s="157">
        <v>77</v>
      </c>
      <c r="D6" s="157">
        <v>85</v>
      </c>
      <c r="E6" s="104">
        <v>88</v>
      </c>
      <c r="L6" s="310" t="s">
        <v>140</v>
      </c>
      <c r="M6" s="313" t="s">
        <v>211</v>
      </c>
      <c r="N6" s="314">
        <v>0.72</v>
      </c>
      <c r="O6" s="533"/>
      <c r="P6" s="533"/>
      <c r="Q6" s="533"/>
      <c r="R6" s="533"/>
      <c r="S6" s="533"/>
      <c r="T6" s="533"/>
    </row>
    <row r="7" spans="1:20" ht="20.25" customHeight="1">
      <c r="A7" s="158" t="s">
        <v>484</v>
      </c>
      <c r="B7" s="157">
        <v>77</v>
      </c>
      <c r="C7" s="157">
        <v>86</v>
      </c>
      <c r="D7" s="157">
        <v>91</v>
      </c>
      <c r="E7" s="104">
        <v>94</v>
      </c>
      <c r="L7" s="310" t="s">
        <v>141</v>
      </c>
      <c r="M7" s="313" t="s">
        <v>212</v>
      </c>
      <c r="N7" s="314">
        <v>0.62</v>
      </c>
      <c r="O7" s="533"/>
      <c r="P7" s="533"/>
      <c r="Q7" s="533"/>
      <c r="R7" s="533"/>
      <c r="S7" s="533"/>
      <c r="T7" s="533"/>
    </row>
    <row r="8" spans="1:20" ht="23.25">
      <c r="A8" s="158" t="s">
        <v>376</v>
      </c>
      <c r="B8" s="157">
        <v>76</v>
      </c>
      <c r="C8" s="157">
        <v>85</v>
      </c>
      <c r="D8" s="157">
        <v>90</v>
      </c>
      <c r="E8" s="104">
        <v>93</v>
      </c>
      <c r="L8" s="310" t="s">
        <v>142</v>
      </c>
      <c r="M8" s="313" t="s">
        <v>213</v>
      </c>
      <c r="N8" s="314">
        <v>1.18</v>
      </c>
    </row>
    <row r="9" spans="1:20" ht="23.25">
      <c r="A9" s="158" t="s">
        <v>377</v>
      </c>
      <c r="B9" s="157">
        <v>74</v>
      </c>
      <c r="C9" s="157">
        <v>83</v>
      </c>
      <c r="D9" s="157">
        <v>88</v>
      </c>
      <c r="E9" s="104">
        <v>90</v>
      </c>
      <c r="L9" s="310" t="s">
        <v>142</v>
      </c>
      <c r="M9" s="313" t="s">
        <v>214</v>
      </c>
      <c r="N9" s="314">
        <v>1.31</v>
      </c>
    </row>
    <row r="10" spans="1:20" ht="23.25">
      <c r="A10" s="158" t="s">
        <v>378</v>
      </c>
      <c r="B10" s="157">
        <v>68</v>
      </c>
      <c r="C10" s="157">
        <v>79</v>
      </c>
      <c r="D10" s="157">
        <v>86</v>
      </c>
      <c r="E10" s="104">
        <v>89</v>
      </c>
      <c r="L10" s="310" t="s">
        <v>143</v>
      </c>
      <c r="M10" s="313" t="s">
        <v>215</v>
      </c>
      <c r="N10" s="314">
        <v>1.75</v>
      </c>
    </row>
    <row r="11" spans="1:20" ht="23.25">
      <c r="A11" s="158" t="s">
        <v>259</v>
      </c>
      <c r="B11" s="157">
        <v>49</v>
      </c>
      <c r="C11" s="157">
        <v>69</v>
      </c>
      <c r="D11" s="157">
        <v>79</v>
      </c>
      <c r="E11" s="104">
        <v>84</v>
      </c>
      <c r="L11" s="310" t="s">
        <v>143</v>
      </c>
      <c r="M11" s="313" t="s">
        <v>216</v>
      </c>
      <c r="N11" s="314">
        <v>0.8</v>
      </c>
    </row>
    <row r="12" spans="1:20" ht="23.25">
      <c r="A12" s="158" t="s">
        <v>249</v>
      </c>
      <c r="B12" s="157">
        <v>39</v>
      </c>
      <c r="C12" s="157">
        <v>61</v>
      </c>
      <c r="D12" s="157">
        <v>74</v>
      </c>
      <c r="E12" s="104">
        <v>80</v>
      </c>
      <c r="L12" s="310" t="s">
        <v>143</v>
      </c>
      <c r="M12" s="313" t="s">
        <v>217</v>
      </c>
      <c r="N12" s="314">
        <v>0.89</v>
      </c>
    </row>
    <row r="13" spans="1:20" ht="23.25">
      <c r="A13" s="158" t="s">
        <v>485</v>
      </c>
      <c r="B13" s="157">
        <v>30</v>
      </c>
      <c r="C13" s="157">
        <v>58</v>
      </c>
      <c r="D13" s="157">
        <v>71</v>
      </c>
      <c r="E13" s="104">
        <v>78</v>
      </c>
      <c r="L13" s="310" t="s">
        <v>143</v>
      </c>
      <c r="M13" s="313" t="s">
        <v>218</v>
      </c>
      <c r="N13" s="314">
        <v>1.82</v>
      </c>
    </row>
    <row r="14" spans="1:20" ht="23.25">
      <c r="A14" s="158" t="s">
        <v>382</v>
      </c>
      <c r="B14" s="157">
        <v>57</v>
      </c>
      <c r="C14" s="157">
        <v>73</v>
      </c>
      <c r="D14" s="157">
        <v>82</v>
      </c>
      <c r="E14" s="104">
        <v>86</v>
      </c>
      <c r="L14" s="310" t="s">
        <v>204</v>
      </c>
      <c r="M14" s="313" t="s">
        <v>219</v>
      </c>
      <c r="N14" s="314">
        <v>1.43</v>
      </c>
    </row>
    <row r="15" spans="1:20" ht="23.25">
      <c r="A15" s="158" t="s">
        <v>383</v>
      </c>
      <c r="B15" s="157">
        <v>35</v>
      </c>
      <c r="C15" s="157">
        <v>56</v>
      </c>
      <c r="D15" s="157">
        <v>70</v>
      </c>
      <c r="E15" s="104">
        <v>77</v>
      </c>
      <c r="L15" s="310" t="s">
        <v>204</v>
      </c>
      <c r="M15" s="313" t="s">
        <v>220</v>
      </c>
      <c r="N15" s="314">
        <v>0.77</v>
      </c>
    </row>
    <row r="16" spans="1:20" ht="23.25">
      <c r="A16" s="158" t="s">
        <v>384</v>
      </c>
      <c r="B16" s="157">
        <v>30</v>
      </c>
      <c r="C16" s="157">
        <v>48</v>
      </c>
      <c r="D16" s="157">
        <v>65</v>
      </c>
      <c r="E16" s="104">
        <v>73</v>
      </c>
      <c r="L16" s="310" t="s">
        <v>81</v>
      </c>
      <c r="M16" s="313" t="s">
        <v>221</v>
      </c>
      <c r="N16" s="314">
        <v>0.64</v>
      </c>
    </row>
    <row r="17" spans="1:14" ht="23.25">
      <c r="A17" s="158" t="s">
        <v>385</v>
      </c>
      <c r="B17" s="157">
        <v>57</v>
      </c>
      <c r="C17" s="157">
        <v>73</v>
      </c>
      <c r="D17" s="157">
        <v>82</v>
      </c>
      <c r="E17" s="104">
        <v>86</v>
      </c>
      <c r="L17" s="310" t="s">
        <v>82</v>
      </c>
      <c r="M17" s="313" t="s">
        <v>222</v>
      </c>
      <c r="N17" s="314">
        <v>0.69</v>
      </c>
    </row>
    <row r="18" spans="1:14" ht="23.25">
      <c r="A18" s="158" t="s">
        <v>386</v>
      </c>
      <c r="B18" s="157">
        <v>43</v>
      </c>
      <c r="C18" s="157">
        <v>65</v>
      </c>
      <c r="D18" s="157">
        <v>76</v>
      </c>
      <c r="E18" s="104">
        <v>82</v>
      </c>
      <c r="L18" s="310" t="s">
        <v>82</v>
      </c>
      <c r="M18" s="313" t="s">
        <v>223</v>
      </c>
      <c r="N18" s="314">
        <v>0.83</v>
      </c>
    </row>
    <row r="19" spans="1:14" ht="23.25">
      <c r="A19" s="158" t="s">
        <v>387</v>
      </c>
      <c r="B19" s="157">
        <v>32</v>
      </c>
      <c r="C19" s="157">
        <v>58</v>
      </c>
      <c r="D19" s="157">
        <v>72</v>
      </c>
      <c r="E19" s="104">
        <v>79</v>
      </c>
      <c r="L19" s="310" t="s">
        <v>82</v>
      </c>
      <c r="M19" s="313" t="s">
        <v>224</v>
      </c>
      <c r="N19" s="314">
        <v>0.67</v>
      </c>
    </row>
    <row r="20" spans="1:14" ht="23.25">
      <c r="A20" s="158" t="s">
        <v>388</v>
      </c>
      <c r="B20" s="157">
        <v>45</v>
      </c>
      <c r="C20" s="157">
        <v>66</v>
      </c>
      <c r="D20" s="157">
        <v>77</v>
      </c>
      <c r="E20" s="104">
        <v>83</v>
      </c>
      <c r="L20" s="310" t="s">
        <v>83</v>
      </c>
      <c r="M20" s="313" t="s">
        <v>225</v>
      </c>
      <c r="N20" s="314">
        <v>1.1299999999999999</v>
      </c>
    </row>
    <row r="21" spans="1:14" ht="23.25">
      <c r="A21" s="158" t="s">
        <v>389</v>
      </c>
      <c r="B21" s="157">
        <v>36</v>
      </c>
      <c r="C21" s="157">
        <v>60</v>
      </c>
      <c r="D21" s="157">
        <v>73</v>
      </c>
      <c r="E21" s="104">
        <v>79</v>
      </c>
      <c r="L21" s="310" t="s">
        <v>83</v>
      </c>
      <c r="M21" s="313" t="s">
        <v>226</v>
      </c>
      <c r="N21" s="314">
        <v>1.36</v>
      </c>
    </row>
    <row r="22" spans="1:14" ht="23.25">
      <c r="A22" s="158" t="s">
        <v>390</v>
      </c>
      <c r="B22" s="157">
        <v>30</v>
      </c>
      <c r="C22" s="157">
        <v>55</v>
      </c>
      <c r="D22" s="157">
        <v>70</v>
      </c>
      <c r="E22" s="104">
        <v>77</v>
      </c>
      <c r="L22" s="310" t="s">
        <v>123</v>
      </c>
      <c r="M22" s="313" t="s">
        <v>227</v>
      </c>
      <c r="N22" s="314">
        <v>1.6</v>
      </c>
    </row>
    <row r="23" spans="1:14">
      <c r="A23" s="88" t="s">
        <v>114</v>
      </c>
      <c r="B23" s="91"/>
      <c r="C23" s="91"/>
      <c r="D23" s="91"/>
      <c r="E23" s="92"/>
      <c r="L23" s="310" t="s">
        <v>123</v>
      </c>
      <c r="M23" s="313" t="s">
        <v>228</v>
      </c>
      <c r="N23" s="314">
        <v>1.59</v>
      </c>
    </row>
    <row r="24" spans="1:14" ht="21" thickBot="1">
      <c r="A24" s="93"/>
      <c r="B24" s="94"/>
      <c r="C24" s="94"/>
      <c r="D24" s="94"/>
      <c r="E24" s="95"/>
      <c r="L24" s="310" t="s">
        <v>123</v>
      </c>
      <c r="M24" s="313" t="s">
        <v>229</v>
      </c>
      <c r="N24" s="314">
        <v>1.1599999999999999</v>
      </c>
    </row>
    <row r="25" spans="1:14">
      <c r="L25" s="310" t="s">
        <v>123</v>
      </c>
      <c r="M25" s="313" t="s">
        <v>230</v>
      </c>
      <c r="N25" s="314">
        <v>1.1000000000000001</v>
      </c>
    </row>
    <row r="26" spans="1:14" ht="21" thickBot="1">
      <c r="L26" s="310" t="s">
        <v>123</v>
      </c>
      <c r="M26" s="313" t="s">
        <v>231</v>
      </c>
      <c r="N26" s="314">
        <v>1.3</v>
      </c>
    </row>
    <row r="27" spans="1:14" ht="23.25">
      <c r="A27" s="99" t="s">
        <v>131</v>
      </c>
      <c r="B27" s="100"/>
      <c r="C27" s="100"/>
      <c r="D27" s="101"/>
      <c r="L27" s="310" t="s">
        <v>275</v>
      </c>
      <c r="M27" s="313" t="s">
        <v>232</v>
      </c>
      <c r="N27" s="314">
        <v>1.1399999999999999</v>
      </c>
    </row>
    <row r="28" spans="1:14" ht="23.25">
      <c r="A28" s="102" t="s">
        <v>140</v>
      </c>
      <c r="B28" s="103">
        <v>0.1</v>
      </c>
      <c r="C28" s="103">
        <v>0.74</v>
      </c>
      <c r="D28" s="104"/>
      <c r="L28" s="310" t="s">
        <v>275</v>
      </c>
      <c r="M28" s="313" t="s">
        <v>233</v>
      </c>
      <c r="N28" s="314">
        <v>0.4</v>
      </c>
    </row>
    <row r="29" spans="1:14" ht="23.25">
      <c r="A29" s="102" t="s">
        <v>141</v>
      </c>
      <c r="B29" s="103">
        <v>0.1</v>
      </c>
      <c r="C29" s="103">
        <v>0.62</v>
      </c>
      <c r="D29" s="104"/>
      <c r="L29" s="310" t="s">
        <v>275</v>
      </c>
      <c r="M29" s="313" t="s">
        <v>234</v>
      </c>
      <c r="N29" s="314">
        <v>0.79</v>
      </c>
    </row>
    <row r="30" spans="1:14" ht="23.25">
      <c r="A30" s="102" t="s">
        <v>142</v>
      </c>
      <c r="B30" s="103">
        <v>0.12</v>
      </c>
      <c r="C30" s="103">
        <v>0.78</v>
      </c>
      <c r="D30" s="104"/>
      <c r="L30" s="310" t="s">
        <v>275</v>
      </c>
      <c r="M30" s="313" t="s">
        <v>235</v>
      </c>
      <c r="N30" s="314">
        <v>0.49</v>
      </c>
    </row>
    <row r="31" spans="1:14" ht="23.25">
      <c r="A31" s="102" t="s">
        <v>143</v>
      </c>
      <c r="B31" s="103">
        <v>0.15</v>
      </c>
      <c r="C31" s="103">
        <v>1.32</v>
      </c>
      <c r="D31" s="104"/>
      <c r="L31" s="310" t="s">
        <v>275</v>
      </c>
      <c r="M31" s="313" t="s">
        <v>236</v>
      </c>
      <c r="N31" s="314">
        <v>1.2983970642089844</v>
      </c>
    </row>
    <row r="32" spans="1:14" ht="23.25">
      <c r="A32" s="102" t="s">
        <v>204</v>
      </c>
      <c r="B32" s="103">
        <v>0.12</v>
      </c>
      <c r="C32" s="103">
        <v>1.1000000000000001</v>
      </c>
      <c r="D32" s="104"/>
      <c r="L32" s="310" t="s">
        <v>276</v>
      </c>
      <c r="M32" s="313" t="s">
        <v>237</v>
      </c>
      <c r="N32" s="314">
        <v>0.75</v>
      </c>
    </row>
    <row r="33" spans="1:14" ht="23.25">
      <c r="A33" s="102" t="s">
        <v>81</v>
      </c>
      <c r="B33" s="103">
        <v>0.09</v>
      </c>
      <c r="C33" s="103">
        <v>0.64</v>
      </c>
      <c r="D33" s="104"/>
      <c r="L33" s="310" t="s">
        <v>144</v>
      </c>
      <c r="M33" s="313" t="s">
        <v>238</v>
      </c>
      <c r="N33" s="314">
        <v>0.65</v>
      </c>
    </row>
    <row r="34" spans="1:14" ht="23.25">
      <c r="A34" s="102" t="s">
        <v>82</v>
      </c>
      <c r="B34" s="103">
        <v>0.1</v>
      </c>
      <c r="C34" s="103">
        <v>0.73</v>
      </c>
      <c r="D34" s="104"/>
      <c r="L34" s="310" t="s">
        <v>144</v>
      </c>
      <c r="M34" s="313" t="s">
        <v>239</v>
      </c>
      <c r="N34" s="314">
        <v>1.1599999999999999</v>
      </c>
    </row>
    <row r="35" spans="1:14" ht="23.25">
      <c r="A35" s="102" t="s">
        <v>83</v>
      </c>
      <c r="B35" s="103">
        <v>0.16</v>
      </c>
      <c r="C35" s="103">
        <v>1.24</v>
      </c>
      <c r="D35" s="104"/>
      <c r="L35" s="310" t="s">
        <v>144</v>
      </c>
      <c r="M35" s="313" t="s">
        <v>240</v>
      </c>
      <c r="N35" s="314">
        <v>1.29</v>
      </c>
    </row>
    <row r="36" spans="1:14" ht="23.25">
      <c r="A36" s="102" t="s">
        <v>123</v>
      </c>
      <c r="B36" s="103">
        <v>0.14000000000000001</v>
      </c>
      <c r="C36" s="103">
        <v>1.24</v>
      </c>
      <c r="D36" s="104"/>
      <c r="L36" s="310" t="s">
        <v>144</v>
      </c>
      <c r="M36" s="313" t="s">
        <v>241</v>
      </c>
      <c r="N36" s="314">
        <v>1.23</v>
      </c>
    </row>
    <row r="37" spans="1:14" ht="23.25">
      <c r="A37" s="102" t="s">
        <v>275</v>
      </c>
      <c r="B37" s="103">
        <v>0.13</v>
      </c>
      <c r="C37" s="103">
        <v>0.82</v>
      </c>
      <c r="D37" s="104"/>
      <c r="L37" s="310" t="s">
        <v>280</v>
      </c>
      <c r="M37" s="313" t="s">
        <v>242</v>
      </c>
      <c r="N37" s="314">
        <v>0.41</v>
      </c>
    </row>
    <row r="38" spans="1:14" ht="23.25">
      <c r="A38" s="102" t="s">
        <v>276</v>
      </c>
      <c r="B38" s="103">
        <v>0.1</v>
      </c>
      <c r="C38" s="103">
        <v>0.75</v>
      </c>
      <c r="D38" s="104"/>
      <c r="L38" s="310" t="s">
        <v>154</v>
      </c>
      <c r="M38" s="313" t="s">
        <v>243</v>
      </c>
      <c r="N38" s="314">
        <v>0.34041690826416016</v>
      </c>
    </row>
    <row r="39" spans="1:14" ht="23.25">
      <c r="A39" s="102" t="s">
        <v>144</v>
      </c>
      <c r="B39" s="103">
        <v>0.12</v>
      </c>
      <c r="C39" s="103">
        <v>1.08</v>
      </c>
      <c r="D39" s="104"/>
      <c r="L39" s="310" t="s">
        <v>154</v>
      </c>
      <c r="M39" s="313" t="s">
        <v>244</v>
      </c>
      <c r="N39" s="314">
        <v>0.5</v>
      </c>
    </row>
    <row r="40" spans="1:14" ht="23.25">
      <c r="A40" s="102" t="s">
        <v>280</v>
      </c>
      <c r="B40" s="103">
        <v>0.1</v>
      </c>
      <c r="C40" s="103">
        <v>0.41</v>
      </c>
      <c r="D40" s="104"/>
      <c r="L40" s="310" t="s">
        <v>97</v>
      </c>
      <c r="M40" s="313" t="s">
        <v>245</v>
      </c>
      <c r="N40" s="314">
        <v>0.33</v>
      </c>
    </row>
    <row r="41" spans="1:14" ht="23.25">
      <c r="A41" s="102" t="s">
        <v>154</v>
      </c>
      <c r="B41" s="103">
        <v>0.09</v>
      </c>
      <c r="C41" s="103">
        <v>0.42</v>
      </c>
      <c r="D41" s="104"/>
      <c r="L41" s="310" t="s">
        <v>97</v>
      </c>
      <c r="M41" s="313" t="s">
        <v>246</v>
      </c>
      <c r="N41" s="314">
        <v>0.44</v>
      </c>
    </row>
    <row r="42" spans="1:14" ht="23.25">
      <c r="A42" s="102" t="s">
        <v>97</v>
      </c>
      <c r="B42" s="103">
        <v>0.09</v>
      </c>
      <c r="C42" s="103">
        <v>0.48</v>
      </c>
      <c r="D42" s="104"/>
      <c r="L42" s="310" t="s">
        <v>97</v>
      </c>
      <c r="M42" s="313" t="s">
        <v>247</v>
      </c>
      <c r="N42" s="314">
        <v>0.87</v>
      </c>
    </row>
    <row r="43" spans="1:14" ht="23.25">
      <c r="A43" s="102" t="s">
        <v>98</v>
      </c>
      <c r="B43" s="103">
        <v>0.1</v>
      </c>
      <c r="C43" s="103">
        <v>0.4</v>
      </c>
      <c r="D43" s="104"/>
      <c r="L43" s="310" t="s">
        <v>97</v>
      </c>
      <c r="M43" s="313" t="s">
        <v>248</v>
      </c>
      <c r="N43" s="314">
        <v>0.36</v>
      </c>
    </row>
    <row r="44" spans="1:14" ht="23.25">
      <c r="A44" s="102" t="s">
        <v>22</v>
      </c>
      <c r="B44" s="103">
        <v>0.12</v>
      </c>
      <c r="C44" s="103">
        <v>1.1399999999999999</v>
      </c>
      <c r="D44" s="104"/>
      <c r="L44" s="310" t="s">
        <v>97</v>
      </c>
      <c r="M44" s="313" t="s">
        <v>160</v>
      </c>
      <c r="N44" s="314">
        <v>0.5</v>
      </c>
    </row>
    <row r="45" spans="1:14" ht="23.25">
      <c r="A45" s="102" t="s">
        <v>23</v>
      </c>
      <c r="B45" s="103">
        <v>0.09</v>
      </c>
      <c r="C45" s="103">
        <v>0.43</v>
      </c>
      <c r="D45" s="104"/>
      <c r="L45" s="310" t="s">
        <v>97</v>
      </c>
      <c r="M45" s="313" t="s">
        <v>161</v>
      </c>
      <c r="N45" s="314">
        <v>0.34</v>
      </c>
    </row>
    <row r="46" spans="1:14" ht="23.25">
      <c r="A46" s="102" t="s">
        <v>153</v>
      </c>
      <c r="B46" s="103">
        <v>0.15</v>
      </c>
      <c r="C46" s="103">
        <v>1.01</v>
      </c>
      <c r="D46" s="104"/>
      <c r="L46" s="310" t="s">
        <v>97</v>
      </c>
      <c r="M46" s="313" t="s">
        <v>162</v>
      </c>
      <c r="N46" s="314">
        <v>0.42</v>
      </c>
    </row>
    <row r="47" spans="1:14" ht="23.25">
      <c r="A47" s="102" t="s">
        <v>174</v>
      </c>
      <c r="B47" s="103">
        <v>0.1</v>
      </c>
      <c r="C47" s="103">
        <v>0.74</v>
      </c>
      <c r="D47" s="104"/>
      <c r="L47" s="310" t="s">
        <v>97</v>
      </c>
      <c r="M47" s="313" t="s">
        <v>163</v>
      </c>
      <c r="N47" s="314">
        <v>0.56000000000000005</v>
      </c>
    </row>
    <row r="48" spans="1:14" ht="23.25">
      <c r="A48" s="102" t="s">
        <v>175</v>
      </c>
      <c r="B48" s="103">
        <v>0.17</v>
      </c>
      <c r="C48" s="103">
        <v>1.29</v>
      </c>
      <c r="D48" s="104"/>
      <c r="L48" s="310" t="s">
        <v>98</v>
      </c>
      <c r="M48" s="313" t="s">
        <v>164</v>
      </c>
      <c r="N48" s="314">
        <v>0.4</v>
      </c>
    </row>
    <row r="49" spans="1:14" ht="23.25">
      <c r="A49" s="102" t="s">
        <v>113</v>
      </c>
      <c r="B49" s="103">
        <v>0.14000000000000001</v>
      </c>
      <c r="C49" s="103">
        <v>1.06</v>
      </c>
      <c r="D49" s="104"/>
      <c r="L49" s="310" t="s">
        <v>22</v>
      </c>
      <c r="M49" s="313" t="s">
        <v>363</v>
      </c>
      <c r="N49" s="314">
        <v>0.89</v>
      </c>
    </row>
    <row r="50" spans="1:14" ht="23.25">
      <c r="A50" s="102" t="s">
        <v>72</v>
      </c>
      <c r="B50" s="103">
        <v>0.13</v>
      </c>
      <c r="C50" s="103">
        <v>1.0900000000000001</v>
      </c>
      <c r="D50" s="104"/>
      <c r="L50" s="310" t="s">
        <v>22</v>
      </c>
      <c r="M50" s="313" t="s">
        <v>364</v>
      </c>
      <c r="N50" s="314">
        <v>1.39</v>
      </c>
    </row>
    <row r="51" spans="1:14" ht="23.25">
      <c r="A51" s="102" t="s">
        <v>73</v>
      </c>
      <c r="B51" s="103">
        <v>0.09</v>
      </c>
      <c r="C51" s="103">
        <v>0.51</v>
      </c>
      <c r="D51" s="104"/>
      <c r="L51" s="310" t="s">
        <v>23</v>
      </c>
      <c r="M51" s="313" t="s">
        <v>365</v>
      </c>
      <c r="N51" s="314">
        <v>0.41</v>
      </c>
    </row>
    <row r="52" spans="1:14" ht="23.25">
      <c r="A52" s="102" t="s">
        <v>108</v>
      </c>
      <c r="B52" s="103">
        <v>0.09</v>
      </c>
      <c r="C52" s="103">
        <v>0.43</v>
      </c>
      <c r="D52" s="104"/>
      <c r="L52" s="310" t="s">
        <v>23</v>
      </c>
      <c r="M52" s="313" t="s">
        <v>366</v>
      </c>
      <c r="N52" s="314">
        <v>0.53</v>
      </c>
    </row>
    <row r="53" spans="1:14" ht="23.25">
      <c r="A53" s="102" t="s">
        <v>109</v>
      </c>
      <c r="B53" s="103">
        <v>0.09</v>
      </c>
      <c r="C53" s="103">
        <v>0.46</v>
      </c>
      <c r="D53" s="104"/>
      <c r="L53" s="310" t="s">
        <v>23</v>
      </c>
      <c r="M53" s="313" t="s">
        <v>367</v>
      </c>
      <c r="N53" s="314">
        <v>0.49</v>
      </c>
    </row>
    <row r="54" spans="1:14" ht="23.25">
      <c r="A54" s="102" t="s">
        <v>61</v>
      </c>
      <c r="B54" s="103">
        <v>0.13</v>
      </c>
      <c r="C54" s="103">
        <v>0.91</v>
      </c>
      <c r="D54" s="104"/>
      <c r="L54" s="310" t="s">
        <v>23</v>
      </c>
      <c r="M54" s="313" t="s">
        <v>368</v>
      </c>
      <c r="N54" s="314">
        <v>0.28999999999999998</v>
      </c>
    </row>
    <row r="55" spans="1:14" ht="23.25">
      <c r="A55" s="102" t="s">
        <v>111</v>
      </c>
      <c r="B55" s="103">
        <v>0.2</v>
      </c>
      <c r="C55" s="103">
        <v>1.3</v>
      </c>
      <c r="D55" s="104"/>
      <c r="L55" s="310" t="s">
        <v>153</v>
      </c>
      <c r="M55" s="313" t="s">
        <v>369</v>
      </c>
      <c r="N55" s="314">
        <v>0.60124969482421875</v>
      </c>
    </row>
    <row r="56" spans="1:14" ht="23.25">
      <c r="A56" s="102" t="s">
        <v>112</v>
      </c>
      <c r="B56" s="103">
        <v>0.12</v>
      </c>
      <c r="C56" s="103">
        <v>0.97</v>
      </c>
      <c r="D56" s="104"/>
      <c r="L56" s="310" t="s">
        <v>153</v>
      </c>
      <c r="M56" s="313" t="s">
        <v>370</v>
      </c>
      <c r="N56" s="314">
        <v>1.19</v>
      </c>
    </row>
    <row r="57" spans="1:14" ht="23.25">
      <c r="A57" s="102" t="s">
        <v>39</v>
      </c>
      <c r="B57" s="103">
        <v>0.15</v>
      </c>
      <c r="C57" s="103">
        <v>0.87</v>
      </c>
      <c r="D57" s="104"/>
      <c r="L57" s="310" t="s">
        <v>153</v>
      </c>
      <c r="M57" s="313" t="s">
        <v>371</v>
      </c>
      <c r="N57" s="314">
        <v>1.19</v>
      </c>
    </row>
    <row r="58" spans="1:14" ht="23.25">
      <c r="A58" s="102" t="s">
        <v>40</v>
      </c>
      <c r="B58" s="103">
        <v>0.15</v>
      </c>
      <c r="C58" s="103">
        <v>1.3</v>
      </c>
      <c r="D58" s="104"/>
      <c r="L58" s="310" t="s">
        <v>153</v>
      </c>
      <c r="M58" s="313" t="s">
        <v>372</v>
      </c>
      <c r="N58" s="314">
        <v>1.24</v>
      </c>
    </row>
    <row r="59" spans="1:14" ht="23.25">
      <c r="A59" s="102" t="s">
        <v>156</v>
      </c>
      <c r="B59" s="103">
        <v>0.12</v>
      </c>
      <c r="C59" s="103">
        <v>0.93</v>
      </c>
      <c r="D59" s="104"/>
      <c r="L59" s="310" t="s">
        <v>153</v>
      </c>
      <c r="M59" s="313" t="s">
        <v>373</v>
      </c>
      <c r="N59" s="314">
        <v>1.02</v>
      </c>
    </row>
    <row r="60" spans="1:14" ht="23.25">
      <c r="A60" s="102" t="s">
        <v>157</v>
      </c>
      <c r="B60" s="103">
        <v>0.14000000000000001</v>
      </c>
      <c r="C60" s="103">
        <v>0.74</v>
      </c>
      <c r="D60" s="104"/>
      <c r="L60" s="310" t="s">
        <v>153</v>
      </c>
      <c r="M60" s="313" t="s">
        <v>374</v>
      </c>
      <c r="N60" s="314">
        <v>0.91</v>
      </c>
    </row>
    <row r="61" spans="1:14" ht="23.25">
      <c r="A61" s="102" t="s">
        <v>158</v>
      </c>
      <c r="B61" s="103">
        <v>0.09</v>
      </c>
      <c r="C61" s="103">
        <v>0.63</v>
      </c>
      <c r="D61" s="104"/>
      <c r="L61" s="310" t="s">
        <v>153</v>
      </c>
      <c r="M61" s="313" t="s">
        <v>375</v>
      </c>
      <c r="N61" s="314">
        <v>0.97</v>
      </c>
    </row>
    <row r="62" spans="1:14" ht="23.25">
      <c r="A62" s="102" t="s">
        <v>159</v>
      </c>
      <c r="B62" s="103">
        <v>0.12</v>
      </c>
      <c r="C62" s="103">
        <v>0.75</v>
      </c>
      <c r="D62" s="104"/>
      <c r="L62" s="310" t="s">
        <v>153</v>
      </c>
      <c r="M62" s="313" t="s">
        <v>165</v>
      </c>
      <c r="N62" s="314">
        <v>0.98</v>
      </c>
    </row>
    <row r="63" spans="1:14" ht="23.25">
      <c r="A63" s="102" t="s">
        <v>68</v>
      </c>
      <c r="B63" s="103">
        <v>0.16</v>
      </c>
      <c r="C63" s="103">
        <v>0.96</v>
      </c>
      <c r="D63" s="104"/>
      <c r="L63" s="310" t="s">
        <v>153</v>
      </c>
      <c r="M63" s="313" t="s">
        <v>252</v>
      </c>
      <c r="N63" s="314">
        <v>0.94</v>
      </c>
    </row>
    <row r="64" spans="1:14" ht="23.25">
      <c r="A64" s="102" t="s">
        <v>69</v>
      </c>
      <c r="B64" s="103">
        <v>0.14000000000000001</v>
      </c>
      <c r="C64" s="103">
        <v>0.82</v>
      </c>
      <c r="D64" s="104"/>
      <c r="L64" s="310" t="s">
        <v>153</v>
      </c>
      <c r="M64" s="313" t="s">
        <v>253</v>
      </c>
      <c r="N64" s="314">
        <v>1.3</v>
      </c>
    </row>
    <row r="65" spans="1:14" ht="23.25">
      <c r="A65" s="102" t="s">
        <v>184</v>
      </c>
      <c r="B65" s="103">
        <v>9.4885110855102539E-2</v>
      </c>
      <c r="C65" s="103">
        <v>0.64</v>
      </c>
      <c r="D65" s="104"/>
      <c r="L65" s="310" t="s">
        <v>153</v>
      </c>
      <c r="M65" s="313" t="s">
        <v>254</v>
      </c>
      <c r="N65" s="314">
        <v>0.87</v>
      </c>
    </row>
    <row r="66" spans="1:14" ht="23.25">
      <c r="A66" s="102" t="s">
        <v>185</v>
      </c>
      <c r="B66" s="103">
        <v>0.08</v>
      </c>
      <c r="C66" s="103">
        <v>0.49</v>
      </c>
      <c r="D66" s="104"/>
      <c r="L66" s="310" t="s">
        <v>153</v>
      </c>
      <c r="M66" s="313" t="s">
        <v>255</v>
      </c>
      <c r="N66" s="314">
        <v>0.73</v>
      </c>
    </row>
    <row r="67" spans="1:14" ht="23.25">
      <c r="A67" s="102" t="s">
        <v>126</v>
      </c>
      <c r="B67" s="103">
        <v>0.13</v>
      </c>
      <c r="C67" s="103">
        <v>0.86</v>
      </c>
      <c r="D67" s="104"/>
      <c r="L67" s="310" t="s">
        <v>153</v>
      </c>
      <c r="M67" s="313" t="s">
        <v>256</v>
      </c>
      <c r="N67" s="314">
        <v>1.32</v>
      </c>
    </row>
    <row r="68" spans="1:14" ht="23.25">
      <c r="A68" s="102" t="s">
        <v>36</v>
      </c>
      <c r="B68" s="103">
        <v>0.09</v>
      </c>
      <c r="C68" s="103">
        <v>0.66</v>
      </c>
      <c r="D68" s="104"/>
      <c r="L68" s="310" t="s">
        <v>153</v>
      </c>
      <c r="M68" s="313" t="s">
        <v>257</v>
      </c>
      <c r="N68" s="314">
        <v>0.59</v>
      </c>
    </row>
    <row r="69" spans="1:14" ht="23.25">
      <c r="A69" s="102" t="s">
        <v>37</v>
      </c>
      <c r="B69" s="103">
        <v>0.18</v>
      </c>
      <c r="C69" s="103">
        <v>1.04</v>
      </c>
      <c r="D69" s="104"/>
      <c r="L69" s="310" t="s">
        <v>153</v>
      </c>
      <c r="M69" s="313" t="s">
        <v>258</v>
      </c>
      <c r="N69" s="314">
        <v>1.19</v>
      </c>
    </row>
    <row r="70" spans="1:14" ht="23.25">
      <c r="A70" s="102" t="s">
        <v>70</v>
      </c>
      <c r="B70" s="103">
        <v>0.12</v>
      </c>
      <c r="C70" s="103">
        <v>0.72</v>
      </c>
      <c r="D70" s="104"/>
      <c r="L70" s="310" t="s">
        <v>153</v>
      </c>
      <c r="M70" s="313" t="s">
        <v>166</v>
      </c>
      <c r="N70" s="314">
        <v>1.19</v>
      </c>
    </row>
    <row r="71" spans="1:14" ht="23.25">
      <c r="A71" s="102" t="s">
        <v>124</v>
      </c>
      <c r="B71" s="103">
        <v>0.19</v>
      </c>
      <c r="C71" s="103">
        <v>1.21</v>
      </c>
      <c r="D71" s="104"/>
      <c r="L71" s="310" t="s">
        <v>153</v>
      </c>
      <c r="M71" s="313" t="s">
        <v>167</v>
      </c>
      <c r="N71" s="314">
        <v>1.53</v>
      </c>
    </row>
    <row r="72" spans="1:14" ht="23.25">
      <c r="A72" s="102" t="s">
        <v>339</v>
      </c>
      <c r="B72" s="103">
        <v>0.13</v>
      </c>
      <c r="C72" s="103">
        <v>1.1100000000000001</v>
      </c>
      <c r="D72" s="104"/>
      <c r="L72" s="310" t="s">
        <v>153</v>
      </c>
      <c r="M72" s="313" t="s">
        <v>168</v>
      </c>
      <c r="N72" s="314">
        <v>0.57999999999999996</v>
      </c>
    </row>
    <row r="73" spans="1:14" ht="23.25">
      <c r="A73" s="102" t="s">
        <v>171</v>
      </c>
      <c r="B73" s="103">
        <v>0.15</v>
      </c>
      <c r="C73" s="103">
        <v>1.1399999999999999</v>
      </c>
      <c r="D73" s="104"/>
      <c r="L73" s="310" t="s">
        <v>153</v>
      </c>
      <c r="M73" s="313" t="s">
        <v>169</v>
      </c>
      <c r="N73" s="314">
        <v>1.05</v>
      </c>
    </row>
    <row r="74" spans="1:14" ht="23.25">
      <c r="A74" s="102" t="s">
        <v>172</v>
      </c>
      <c r="B74" s="103">
        <v>0.1</v>
      </c>
      <c r="C74" s="103">
        <v>0.64</v>
      </c>
      <c r="D74" s="104"/>
      <c r="L74" s="310" t="s">
        <v>153</v>
      </c>
      <c r="M74" s="313" t="s">
        <v>250</v>
      </c>
      <c r="N74" s="314">
        <v>1.08</v>
      </c>
    </row>
    <row r="75" spans="1:14" ht="23.25">
      <c r="A75" s="102" t="s">
        <v>173</v>
      </c>
      <c r="B75" s="103">
        <v>0.12</v>
      </c>
      <c r="C75" s="103">
        <v>0.93</v>
      </c>
      <c r="D75" s="104"/>
      <c r="L75" s="310" t="s">
        <v>153</v>
      </c>
      <c r="M75" s="313" t="s">
        <v>251</v>
      </c>
      <c r="N75" s="314">
        <v>0.8</v>
      </c>
    </row>
    <row r="76" spans="1:14" ht="23.25">
      <c r="A76" s="102" t="s">
        <v>57</v>
      </c>
      <c r="B76" s="103">
        <v>0.18</v>
      </c>
      <c r="C76" s="103">
        <v>1.29</v>
      </c>
      <c r="D76" s="104"/>
      <c r="L76" s="310" t="s">
        <v>153</v>
      </c>
      <c r="M76" s="313" t="s">
        <v>380</v>
      </c>
      <c r="N76" s="314">
        <v>1</v>
      </c>
    </row>
    <row r="77" spans="1:14" ht="23.25">
      <c r="A77" s="102" t="s">
        <v>58</v>
      </c>
      <c r="B77" s="103">
        <v>0.1</v>
      </c>
      <c r="C77" s="103">
        <v>0.5</v>
      </c>
      <c r="D77" s="104"/>
      <c r="L77" s="310" t="s">
        <v>174</v>
      </c>
      <c r="M77" s="313" t="s">
        <v>381</v>
      </c>
      <c r="N77" s="314">
        <v>0.74</v>
      </c>
    </row>
    <row r="78" spans="1:14" ht="23.25">
      <c r="A78" s="102" t="s">
        <v>71</v>
      </c>
      <c r="B78" s="103">
        <v>0.09</v>
      </c>
      <c r="C78" s="103">
        <v>0.65</v>
      </c>
      <c r="D78" s="104"/>
      <c r="L78" s="310" t="s">
        <v>175</v>
      </c>
      <c r="M78" s="313" t="s">
        <v>260</v>
      </c>
      <c r="N78" s="314">
        <v>1.19</v>
      </c>
    </row>
    <row r="79" spans="1:14" ht="23.25">
      <c r="A79" s="102" t="s">
        <v>59</v>
      </c>
      <c r="B79" s="103">
        <v>0.13</v>
      </c>
      <c r="C79" s="103">
        <v>0.9</v>
      </c>
      <c r="D79" s="104"/>
      <c r="L79" s="310" t="s">
        <v>175</v>
      </c>
      <c r="M79" s="313" t="s">
        <v>261</v>
      </c>
      <c r="N79" s="314">
        <v>0.99</v>
      </c>
    </row>
    <row r="80" spans="1:14" ht="23.25">
      <c r="A80" s="102" t="s">
        <v>60</v>
      </c>
      <c r="B80" s="103">
        <v>0.13</v>
      </c>
      <c r="C80" s="103">
        <v>1.1100000000000001</v>
      </c>
      <c r="D80" s="104"/>
      <c r="L80" s="310" t="s">
        <v>113</v>
      </c>
      <c r="M80" s="313" t="s">
        <v>262</v>
      </c>
      <c r="N80" s="314">
        <v>0.8</v>
      </c>
    </row>
    <row r="81" spans="1:14" ht="23.25">
      <c r="A81" s="102" t="s">
        <v>135</v>
      </c>
      <c r="B81" s="103">
        <v>0.16</v>
      </c>
      <c r="C81" s="103">
        <v>1.01</v>
      </c>
      <c r="D81" s="104"/>
      <c r="L81" s="310" t="s">
        <v>113</v>
      </c>
      <c r="M81" s="313" t="s">
        <v>263</v>
      </c>
      <c r="N81" s="314">
        <v>1.3</v>
      </c>
    </row>
    <row r="82" spans="1:14" ht="23.25">
      <c r="A82" s="102" t="s">
        <v>136</v>
      </c>
      <c r="B82" s="103">
        <v>0.12</v>
      </c>
      <c r="C82" s="103">
        <v>1.1599999999999999</v>
      </c>
      <c r="D82" s="104"/>
      <c r="L82" s="310" t="s">
        <v>113</v>
      </c>
      <c r="M82" s="313" t="s">
        <v>264</v>
      </c>
      <c r="N82" s="314">
        <v>1.1000000000000001</v>
      </c>
    </row>
    <row r="83" spans="1:14" ht="23.25">
      <c r="A83" s="102" t="s">
        <v>137</v>
      </c>
      <c r="B83" s="103">
        <v>0.23</v>
      </c>
      <c r="C83" s="103">
        <v>1.27</v>
      </c>
      <c r="D83" s="104"/>
      <c r="L83" s="310" t="s">
        <v>72</v>
      </c>
      <c r="M83" s="313" t="s">
        <v>265</v>
      </c>
      <c r="N83" s="314">
        <v>0.97</v>
      </c>
    </row>
    <row r="84" spans="1:14" ht="23.25">
      <c r="A84" s="102" t="s">
        <v>138</v>
      </c>
      <c r="B84" s="103">
        <v>0.09</v>
      </c>
      <c r="C84" s="103">
        <v>0.65</v>
      </c>
      <c r="D84" s="104"/>
      <c r="L84" s="310" t="s">
        <v>72</v>
      </c>
      <c r="M84" s="313" t="s">
        <v>266</v>
      </c>
      <c r="N84" s="314">
        <v>0.88</v>
      </c>
    </row>
    <row r="85" spans="1:14" ht="23.25">
      <c r="A85" s="102" t="s">
        <v>139</v>
      </c>
      <c r="B85" s="103">
        <v>0.14000000000000001</v>
      </c>
      <c r="C85" s="103">
        <v>1.1000000000000001</v>
      </c>
      <c r="D85" s="104"/>
      <c r="L85" s="310" t="s">
        <v>72</v>
      </c>
      <c r="M85" s="313" t="s">
        <v>267</v>
      </c>
      <c r="N85" s="314">
        <v>1.35</v>
      </c>
    </row>
    <row r="86" spans="1:14" ht="21" thickBot="1">
      <c r="A86" s="96"/>
      <c r="B86" s="97"/>
      <c r="C86" s="97"/>
      <c r="D86" s="98"/>
      <c r="L86" s="310" t="s">
        <v>72</v>
      </c>
      <c r="M86" s="313" t="s">
        <v>268</v>
      </c>
      <c r="N86" s="314">
        <v>1.02</v>
      </c>
    </row>
    <row r="87" spans="1:14" ht="21" thickBot="1">
      <c r="L87" s="310" t="s">
        <v>72</v>
      </c>
      <c r="M87" s="313" t="s">
        <v>269</v>
      </c>
      <c r="N87" s="314">
        <v>0.94</v>
      </c>
    </row>
    <row r="88" spans="1:14" ht="23.25">
      <c r="A88" s="150" t="s">
        <v>486</v>
      </c>
      <c r="B88" s="151" t="s">
        <v>206</v>
      </c>
      <c r="C88" s="151"/>
      <c r="D88" s="151"/>
      <c r="E88" s="151"/>
      <c r="F88" s="146"/>
      <c r="L88" s="310" t="s">
        <v>72</v>
      </c>
      <c r="M88" s="313" t="s">
        <v>270</v>
      </c>
      <c r="N88" s="314">
        <v>0.86</v>
      </c>
    </row>
    <row r="89" spans="1:14" ht="23.25">
      <c r="A89" s="152" t="s">
        <v>437</v>
      </c>
      <c r="B89" s="153" t="s">
        <v>207</v>
      </c>
      <c r="C89" s="153" t="s">
        <v>208</v>
      </c>
      <c r="D89" s="153" t="s">
        <v>277</v>
      </c>
      <c r="E89" s="153" t="s">
        <v>278</v>
      </c>
      <c r="F89" s="147"/>
      <c r="L89" s="310" t="s">
        <v>72</v>
      </c>
      <c r="M89" s="313" t="s">
        <v>271</v>
      </c>
      <c r="N89" s="314">
        <v>1.19</v>
      </c>
    </row>
    <row r="90" spans="1:14" ht="23.25">
      <c r="A90" s="154" t="s">
        <v>487</v>
      </c>
      <c r="B90" s="153">
        <v>43</v>
      </c>
      <c r="C90" s="153">
        <v>65</v>
      </c>
      <c r="D90" s="153">
        <v>76</v>
      </c>
      <c r="E90" s="153">
        <v>82</v>
      </c>
      <c r="F90" s="147"/>
      <c r="L90" s="310" t="s">
        <v>72</v>
      </c>
      <c r="M90" s="313" t="s">
        <v>272</v>
      </c>
      <c r="N90" s="314">
        <v>1.24</v>
      </c>
    </row>
    <row r="91" spans="1:14" ht="23.25">
      <c r="A91" s="154" t="s">
        <v>488</v>
      </c>
      <c r="B91" s="153">
        <v>57</v>
      </c>
      <c r="C91" s="153">
        <v>73</v>
      </c>
      <c r="D91" s="153">
        <v>82</v>
      </c>
      <c r="E91" s="153">
        <v>86</v>
      </c>
      <c r="F91" s="147"/>
      <c r="L91" s="310" t="s">
        <v>72</v>
      </c>
      <c r="M91" s="313" t="s">
        <v>273</v>
      </c>
      <c r="N91" s="314">
        <v>1.39</v>
      </c>
    </row>
    <row r="92" spans="1:14" ht="23.25">
      <c r="A92" s="154" t="s">
        <v>489</v>
      </c>
      <c r="B92" s="153">
        <v>32</v>
      </c>
      <c r="C92" s="153">
        <v>58</v>
      </c>
      <c r="D92" s="153">
        <v>72</v>
      </c>
      <c r="E92" s="153">
        <v>79</v>
      </c>
      <c r="F92" s="147"/>
      <c r="L92" s="310" t="s">
        <v>73</v>
      </c>
      <c r="M92" s="313" t="s">
        <v>274</v>
      </c>
      <c r="N92" s="314">
        <v>0.56999999999999995</v>
      </c>
    </row>
    <row r="93" spans="1:14" ht="23.25">
      <c r="A93" s="154" t="s">
        <v>490</v>
      </c>
      <c r="B93" s="153">
        <v>35</v>
      </c>
      <c r="C93" s="153">
        <v>56</v>
      </c>
      <c r="D93" s="153">
        <v>70</v>
      </c>
      <c r="E93" s="153">
        <v>77</v>
      </c>
      <c r="F93" s="147"/>
      <c r="L93" s="310" t="s">
        <v>73</v>
      </c>
      <c r="M93" s="313" t="s">
        <v>392</v>
      </c>
      <c r="N93" s="314">
        <v>0.45</v>
      </c>
    </row>
    <row r="94" spans="1:14" ht="23.25">
      <c r="A94" s="154" t="s">
        <v>379</v>
      </c>
      <c r="B94" s="153">
        <v>57</v>
      </c>
      <c r="C94" s="153">
        <v>73</v>
      </c>
      <c r="D94" s="153">
        <v>82</v>
      </c>
      <c r="E94" s="153">
        <v>86</v>
      </c>
      <c r="F94" s="147"/>
      <c r="L94" s="310" t="s">
        <v>108</v>
      </c>
      <c r="M94" s="313" t="s">
        <v>393</v>
      </c>
      <c r="N94" s="314">
        <v>0.3</v>
      </c>
    </row>
    <row r="95" spans="1:14" ht="23.25">
      <c r="A95" s="154" t="s">
        <v>414</v>
      </c>
      <c r="B95" s="153">
        <v>30</v>
      </c>
      <c r="C95" s="153">
        <v>48</v>
      </c>
      <c r="D95" s="153">
        <v>65</v>
      </c>
      <c r="E95" s="153">
        <v>73</v>
      </c>
      <c r="F95" s="147"/>
      <c r="L95" s="310" t="s">
        <v>108</v>
      </c>
      <c r="M95" s="313" t="s">
        <v>394</v>
      </c>
      <c r="N95" s="314">
        <v>0.56999999999999995</v>
      </c>
    </row>
    <row r="96" spans="1:14" ht="23.25">
      <c r="A96" s="154" t="s">
        <v>415</v>
      </c>
      <c r="B96" s="153">
        <v>76</v>
      </c>
      <c r="C96" s="153">
        <v>85</v>
      </c>
      <c r="D96" s="153">
        <v>90</v>
      </c>
      <c r="E96" s="153">
        <v>92</v>
      </c>
      <c r="F96" s="147"/>
      <c r="L96" s="310" t="s">
        <v>109</v>
      </c>
      <c r="M96" s="313" t="s">
        <v>395</v>
      </c>
      <c r="N96" s="314">
        <v>0.47</v>
      </c>
    </row>
    <row r="97" spans="1:14" ht="23.25">
      <c r="A97" s="154" t="s">
        <v>416</v>
      </c>
      <c r="B97" s="153">
        <v>49</v>
      </c>
      <c r="C97" s="153">
        <v>69</v>
      </c>
      <c r="D97" s="153">
        <v>79</v>
      </c>
      <c r="E97" s="153">
        <v>84</v>
      </c>
      <c r="F97" s="147"/>
      <c r="L97" s="310" t="s">
        <v>109</v>
      </c>
      <c r="M97" s="313" t="s">
        <v>396</v>
      </c>
      <c r="N97" s="314">
        <v>0.44</v>
      </c>
    </row>
    <row r="98" spans="1:14" ht="23.25">
      <c r="A98" s="154" t="s">
        <v>417</v>
      </c>
      <c r="B98" s="153">
        <v>68</v>
      </c>
      <c r="C98" s="153">
        <v>79</v>
      </c>
      <c r="D98" s="153">
        <v>86</v>
      </c>
      <c r="E98" s="153">
        <v>89</v>
      </c>
      <c r="F98" s="147"/>
      <c r="L98" s="310" t="s">
        <v>61</v>
      </c>
      <c r="M98" s="313" t="s">
        <v>397</v>
      </c>
      <c r="N98" s="314">
        <v>1.1000000000000001</v>
      </c>
    </row>
    <row r="99" spans="1:14" ht="23.25">
      <c r="A99" s="154" t="s">
        <v>418</v>
      </c>
      <c r="B99" s="153">
        <v>39</v>
      </c>
      <c r="C99" s="153">
        <v>61</v>
      </c>
      <c r="D99" s="153">
        <v>74</v>
      </c>
      <c r="E99" s="153">
        <v>80</v>
      </c>
      <c r="F99" s="147"/>
      <c r="L99" s="310" t="s">
        <v>61</v>
      </c>
      <c r="M99" s="313" t="s">
        <v>398</v>
      </c>
      <c r="N99" s="314">
        <v>1.2</v>
      </c>
    </row>
    <row r="100" spans="1:14" ht="23.25">
      <c r="A100" s="154" t="s">
        <v>419</v>
      </c>
      <c r="B100" s="153">
        <v>36</v>
      </c>
      <c r="C100" s="153">
        <v>60</v>
      </c>
      <c r="D100" s="153">
        <v>73</v>
      </c>
      <c r="E100" s="153">
        <v>79</v>
      </c>
      <c r="F100" s="147"/>
      <c r="L100" s="310" t="s">
        <v>61</v>
      </c>
      <c r="M100" s="313" t="s">
        <v>399</v>
      </c>
      <c r="N100" s="314">
        <v>0.6</v>
      </c>
    </row>
    <row r="101" spans="1:14" ht="23.25">
      <c r="A101" s="154" t="s">
        <v>420</v>
      </c>
      <c r="B101" s="153">
        <v>30</v>
      </c>
      <c r="C101" s="153">
        <v>55</v>
      </c>
      <c r="D101" s="153">
        <v>70</v>
      </c>
      <c r="E101" s="153">
        <v>77</v>
      </c>
      <c r="F101" s="147"/>
      <c r="L101" s="310" t="s">
        <v>61</v>
      </c>
      <c r="M101" s="313" t="s">
        <v>400</v>
      </c>
      <c r="N101" s="314">
        <v>0.63</v>
      </c>
    </row>
    <row r="102" spans="1:14" ht="23.25">
      <c r="A102" s="154" t="s">
        <v>434</v>
      </c>
      <c r="B102" s="153">
        <v>63</v>
      </c>
      <c r="C102" s="153">
        <v>77</v>
      </c>
      <c r="D102" s="153">
        <v>85</v>
      </c>
      <c r="E102" s="153">
        <v>88</v>
      </c>
      <c r="F102" s="147"/>
      <c r="L102" s="310" t="s">
        <v>61</v>
      </c>
      <c r="M102" s="313" t="s">
        <v>401</v>
      </c>
      <c r="N102" s="314">
        <v>0.75</v>
      </c>
    </row>
    <row r="103" spans="1:14" ht="23.25">
      <c r="A103" s="154" t="s">
        <v>259</v>
      </c>
      <c r="B103" s="153">
        <v>49</v>
      </c>
      <c r="C103" s="153">
        <v>69</v>
      </c>
      <c r="D103" s="153">
        <v>79</v>
      </c>
      <c r="E103" s="153">
        <v>84</v>
      </c>
      <c r="F103" s="147"/>
      <c r="L103" s="310" t="s">
        <v>61</v>
      </c>
      <c r="M103" s="313" t="s">
        <v>402</v>
      </c>
      <c r="N103" s="314">
        <v>1.19</v>
      </c>
    </row>
    <row r="104" spans="1:14" ht="23.25">
      <c r="A104" s="155" t="s">
        <v>435</v>
      </c>
      <c r="B104" s="153">
        <v>30</v>
      </c>
      <c r="C104" s="153">
        <v>58</v>
      </c>
      <c r="D104" s="153">
        <v>71</v>
      </c>
      <c r="E104" s="153">
        <v>78</v>
      </c>
      <c r="F104" s="147"/>
      <c r="L104" s="310" t="s">
        <v>111</v>
      </c>
      <c r="M104" s="313" t="s">
        <v>403</v>
      </c>
      <c r="N104" s="314">
        <v>1.3</v>
      </c>
    </row>
    <row r="105" spans="1:14" ht="23.25">
      <c r="A105" s="154" t="s">
        <v>436</v>
      </c>
      <c r="B105" s="153">
        <v>45</v>
      </c>
      <c r="C105" s="153">
        <v>66</v>
      </c>
      <c r="D105" s="153">
        <v>77</v>
      </c>
      <c r="E105" s="153">
        <v>83</v>
      </c>
      <c r="F105" s="147"/>
      <c r="L105" s="310" t="s">
        <v>111</v>
      </c>
      <c r="M105" s="313" t="s">
        <v>404</v>
      </c>
      <c r="N105" s="314">
        <v>1.3</v>
      </c>
    </row>
    <row r="106" spans="1:14">
      <c r="L106" s="310" t="s">
        <v>111</v>
      </c>
      <c r="M106" s="313" t="s">
        <v>405</v>
      </c>
      <c r="N106" s="314">
        <v>1.3</v>
      </c>
    </row>
    <row r="107" spans="1:14">
      <c r="L107" s="310" t="s">
        <v>112</v>
      </c>
      <c r="M107" s="313" t="s">
        <v>406</v>
      </c>
      <c r="N107" s="314">
        <v>1.5</v>
      </c>
    </row>
    <row r="108" spans="1:14">
      <c r="L108" s="310" t="s">
        <v>112</v>
      </c>
      <c r="M108" s="313" t="s">
        <v>407</v>
      </c>
      <c r="N108" s="314">
        <v>1.39</v>
      </c>
    </row>
    <row r="109" spans="1:14">
      <c r="L109" s="310" t="s">
        <v>112</v>
      </c>
      <c r="M109" s="313" t="s">
        <v>408</v>
      </c>
      <c r="N109" s="314">
        <v>1.4</v>
      </c>
    </row>
    <row r="110" spans="1:14">
      <c r="L110" s="310" t="s">
        <v>112</v>
      </c>
      <c r="M110" s="313" t="s">
        <v>409</v>
      </c>
      <c r="N110" s="314">
        <v>1.2</v>
      </c>
    </row>
    <row r="111" spans="1:14">
      <c r="L111" s="310" t="s">
        <v>112</v>
      </c>
      <c r="M111" s="313" t="s">
        <v>410</v>
      </c>
      <c r="N111" s="314">
        <v>0.8</v>
      </c>
    </row>
    <row r="112" spans="1:14">
      <c r="L112" s="310" t="s">
        <v>39</v>
      </c>
      <c r="M112" s="313" t="s">
        <v>411</v>
      </c>
      <c r="N112" s="314">
        <v>0.9</v>
      </c>
    </row>
    <row r="113" spans="12:14">
      <c r="L113" s="310" t="s">
        <v>39</v>
      </c>
      <c r="M113" s="313" t="s">
        <v>412</v>
      </c>
      <c r="N113" s="314">
        <v>0.93</v>
      </c>
    </row>
    <row r="114" spans="12:14">
      <c r="L114" s="310" t="s">
        <v>39</v>
      </c>
      <c r="M114" s="313" t="s">
        <v>413</v>
      </c>
      <c r="N114" s="314">
        <v>0.71</v>
      </c>
    </row>
    <row r="115" spans="12:14">
      <c r="L115" s="310" t="s">
        <v>39</v>
      </c>
      <c r="M115" s="313" t="s">
        <v>281</v>
      </c>
      <c r="N115" s="314">
        <v>0.89</v>
      </c>
    </row>
    <row r="116" spans="12:14">
      <c r="L116" s="310" t="s">
        <v>39</v>
      </c>
      <c r="M116" s="313" t="s">
        <v>282</v>
      </c>
      <c r="N116" s="314">
        <v>0.69</v>
      </c>
    </row>
    <row r="117" spans="12:14">
      <c r="L117" s="310" t="s">
        <v>39</v>
      </c>
      <c r="M117" s="313" t="s">
        <v>283</v>
      </c>
      <c r="N117" s="314">
        <v>0.92</v>
      </c>
    </row>
    <row r="118" spans="12:14">
      <c r="L118" s="310" t="s">
        <v>39</v>
      </c>
      <c r="M118" s="313" t="s">
        <v>284</v>
      </c>
      <c r="N118" s="314">
        <v>0.89</v>
      </c>
    </row>
    <row r="119" spans="12:14">
      <c r="L119" s="310" t="s">
        <v>39</v>
      </c>
      <c r="M119" s="313" t="s">
        <v>285</v>
      </c>
      <c r="N119" s="314">
        <v>0.85</v>
      </c>
    </row>
    <row r="120" spans="12:14">
      <c r="L120" s="310" t="s">
        <v>39</v>
      </c>
      <c r="M120" s="313" t="s">
        <v>286</v>
      </c>
      <c r="N120" s="314">
        <v>0.98</v>
      </c>
    </row>
    <row r="121" spans="12:14">
      <c r="L121" s="310" t="s">
        <v>39</v>
      </c>
      <c r="M121" s="313" t="s">
        <v>287</v>
      </c>
      <c r="N121" s="314">
        <v>0.93</v>
      </c>
    </row>
    <row r="122" spans="12:14">
      <c r="L122" s="310" t="s">
        <v>40</v>
      </c>
      <c r="M122" s="313" t="s">
        <v>288</v>
      </c>
      <c r="N122" s="314">
        <v>1.56</v>
      </c>
    </row>
    <row r="123" spans="12:14">
      <c r="L123" s="310" t="s">
        <v>40</v>
      </c>
      <c r="M123" s="313" t="s">
        <v>289</v>
      </c>
      <c r="N123" s="314">
        <v>1</v>
      </c>
    </row>
    <row r="124" spans="12:14">
      <c r="L124" s="310" t="s">
        <v>40</v>
      </c>
      <c r="M124" s="313" t="s">
        <v>290</v>
      </c>
      <c r="N124" s="314">
        <v>1.33</v>
      </c>
    </row>
    <row r="125" spans="12:14">
      <c r="L125" s="310" t="s">
        <v>156</v>
      </c>
      <c r="M125" s="313" t="s">
        <v>291</v>
      </c>
      <c r="N125" s="314">
        <v>0.69</v>
      </c>
    </row>
    <row r="126" spans="12:14">
      <c r="L126" s="310" t="s">
        <v>156</v>
      </c>
      <c r="M126" s="313" t="s">
        <v>292</v>
      </c>
      <c r="N126" s="314">
        <v>1.49</v>
      </c>
    </row>
    <row r="127" spans="12:14">
      <c r="L127" s="310" t="s">
        <v>156</v>
      </c>
      <c r="M127" s="313" t="s">
        <v>293</v>
      </c>
      <c r="N127" s="314">
        <v>0.59</v>
      </c>
    </row>
    <row r="128" spans="12:14">
      <c r="L128" s="310" t="s">
        <v>157</v>
      </c>
      <c r="M128" s="313" t="s">
        <v>294</v>
      </c>
      <c r="N128" s="314">
        <v>0.89</v>
      </c>
    </row>
    <row r="129" spans="12:14">
      <c r="L129" s="310" t="s">
        <v>157</v>
      </c>
      <c r="M129" s="313" t="s">
        <v>295</v>
      </c>
      <c r="N129" s="314">
        <v>0.48</v>
      </c>
    </row>
    <row r="130" spans="12:14">
      <c r="L130" s="310" t="s">
        <v>157</v>
      </c>
      <c r="M130" s="313" t="s">
        <v>296</v>
      </c>
      <c r="N130" s="314">
        <v>0.79</v>
      </c>
    </row>
    <row r="131" spans="12:14">
      <c r="L131" s="310" t="s">
        <v>157</v>
      </c>
      <c r="M131" s="313" t="s">
        <v>297</v>
      </c>
      <c r="N131" s="314">
        <v>0.45</v>
      </c>
    </row>
    <row r="132" spans="12:14">
      <c r="L132" s="310" t="s">
        <v>157</v>
      </c>
      <c r="M132" s="313" t="s">
        <v>298</v>
      </c>
      <c r="N132" s="314">
        <v>0.89</v>
      </c>
    </row>
    <row r="133" spans="12:14">
      <c r="L133" s="310" t="s">
        <v>157</v>
      </c>
      <c r="M133" s="313" t="s">
        <v>299</v>
      </c>
      <c r="N133" s="314">
        <v>1.1000000000000001</v>
      </c>
    </row>
    <row r="134" spans="12:14">
      <c r="L134" s="310" t="s">
        <v>157</v>
      </c>
      <c r="M134" s="313" t="s">
        <v>300</v>
      </c>
      <c r="N134" s="314">
        <v>0.86</v>
      </c>
    </row>
    <row r="135" spans="12:14">
      <c r="L135" s="310" t="s">
        <v>157</v>
      </c>
      <c r="M135" s="313" t="s">
        <v>301</v>
      </c>
      <c r="N135" s="314">
        <v>0.53</v>
      </c>
    </row>
    <row r="136" spans="12:14">
      <c r="L136" s="310" t="s">
        <v>157</v>
      </c>
      <c r="M136" s="313" t="s">
        <v>302</v>
      </c>
      <c r="N136" s="314">
        <v>0.69</v>
      </c>
    </row>
    <row r="137" spans="12:14">
      <c r="L137" s="310" t="s">
        <v>158</v>
      </c>
      <c r="M137" s="313" t="s">
        <v>303</v>
      </c>
      <c r="N137" s="314">
        <v>0.64</v>
      </c>
    </row>
    <row r="138" spans="12:14">
      <c r="L138" s="310" t="s">
        <v>158</v>
      </c>
      <c r="M138" s="313" t="s">
        <v>304</v>
      </c>
      <c r="N138" s="314">
        <v>0.62</v>
      </c>
    </row>
    <row r="139" spans="12:14">
      <c r="L139" s="310" t="s">
        <v>159</v>
      </c>
      <c r="M139" s="313" t="s">
        <v>306</v>
      </c>
      <c r="N139" s="314">
        <v>0.9</v>
      </c>
    </row>
    <row r="140" spans="12:14">
      <c r="L140" s="310" t="s">
        <v>159</v>
      </c>
      <c r="M140" s="313" t="s">
        <v>421</v>
      </c>
      <c r="N140" s="314">
        <v>0.59</v>
      </c>
    </row>
    <row r="141" spans="12:14">
      <c r="L141" s="310" t="s">
        <v>159</v>
      </c>
      <c r="M141" s="313" t="s">
        <v>422</v>
      </c>
      <c r="N141" s="314">
        <v>0.9</v>
      </c>
    </row>
    <row r="142" spans="12:14">
      <c r="L142" s="310" t="s">
        <v>159</v>
      </c>
      <c r="M142" s="313" t="s">
        <v>305</v>
      </c>
      <c r="N142" s="314">
        <v>0.65</v>
      </c>
    </row>
    <row r="143" spans="12:14">
      <c r="L143" s="310" t="s">
        <v>159</v>
      </c>
      <c r="M143" s="313" t="s">
        <v>423</v>
      </c>
      <c r="N143" s="314">
        <v>0.8</v>
      </c>
    </row>
    <row r="144" spans="12:14">
      <c r="L144" s="310" t="s">
        <v>159</v>
      </c>
      <c r="M144" s="313" t="s">
        <v>424</v>
      </c>
      <c r="N144" s="314">
        <v>0.67</v>
      </c>
    </row>
    <row r="145" spans="12:14">
      <c r="L145" s="310" t="s">
        <v>68</v>
      </c>
      <c r="M145" s="313" t="s">
        <v>425</v>
      </c>
      <c r="N145" s="314">
        <v>0.33</v>
      </c>
    </row>
    <row r="146" spans="12:14">
      <c r="L146" s="310" t="s">
        <v>68</v>
      </c>
      <c r="M146" s="313" t="s">
        <v>426</v>
      </c>
      <c r="N146" s="314">
        <v>1.45</v>
      </c>
    </row>
    <row r="147" spans="12:14">
      <c r="L147" s="310" t="s">
        <v>68</v>
      </c>
      <c r="M147" s="313" t="s">
        <v>427</v>
      </c>
      <c r="N147" s="314">
        <v>0.8</v>
      </c>
    </row>
    <row r="148" spans="12:14">
      <c r="L148" s="310" t="s">
        <v>68</v>
      </c>
      <c r="M148" s="313" t="s">
        <v>428</v>
      </c>
      <c r="N148" s="314">
        <v>1.4</v>
      </c>
    </row>
    <row r="149" spans="12:14">
      <c r="L149" s="310" t="s">
        <v>68</v>
      </c>
      <c r="M149" s="313" t="s">
        <v>429</v>
      </c>
      <c r="N149" s="314">
        <v>1</v>
      </c>
    </row>
    <row r="150" spans="12:14">
      <c r="L150" s="310" t="s">
        <v>68</v>
      </c>
      <c r="M150" s="313" t="s">
        <v>430</v>
      </c>
      <c r="N150" s="314">
        <v>1.79</v>
      </c>
    </row>
    <row r="151" spans="12:14">
      <c r="L151" s="310" t="s">
        <v>68</v>
      </c>
      <c r="M151" s="313" t="s">
        <v>431</v>
      </c>
      <c r="N151" s="314">
        <v>0.39</v>
      </c>
    </row>
    <row r="152" spans="12:14">
      <c r="L152" s="310" t="s">
        <v>68</v>
      </c>
      <c r="M152" s="313" t="s">
        <v>432</v>
      </c>
      <c r="N152" s="314">
        <v>1.0900000000000001</v>
      </c>
    </row>
    <row r="153" spans="12:14">
      <c r="L153" s="310" t="s">
        <v>68</v>
      </c>
      <c r="M153" s="313" t="s">
        <v>433</v>
      </c>
      <c r="N153" s="314">
        <v>0.42</v>
      </c>
    </row>
    <row r="154" spans="12:14">
      <c r="L154" s="310" t="s">
        <v>68</v>
      </c>
      <c r="M154" s="313" t="s">
        <v>307</v>
      </c>
      <c r="N154" s="314">
        <v>0.82187652587890625</v>
      </c>
    </row>
    <row r="155" spans="12:14">
      <c r="L155" s="310" t="s">
        <v>68</v>
      </c>
      <c r="M155" s="313" t="s">
        <v>308</v>
      </c>
      <c r="N155" s="314">
        <v>1.79</v>
      </c>
    </row>
    <row r="156" spans="12:14">
      <c r="L156" s="310" t="s">
        <v>68</v>
      </c>
      <c r="M156" s="313" t="s">
        <v>309</v>
      </c>
      <c r="N156" s="314">
        <v>1.19</v>
      </c>
    </row>
    <row r="157" spans="12:14">
      <c r="L157" s="310" t="s">
        <v>68</v>
      </c>
      <c r="M157" s="313" t="s">
        <v>186</v>
      </c>
      <c r="N157" s="314">
        <v>0.45</v>
      </c>
    </row>
    <row r="158" spans="12:14">
      <c r="L158" s="310" t="s">
        <v>68</v>
      </c>
      <c r="M158" s="313" t="s">
        <v>187</v>
      </c>
      <c r="N158" s="314">
        <v>0.5</v>
      </c>
    </row>
    <row r="159" spans="12:14">
      <c r="L159" s="310" t="s">
        <v>68</v>
      </c>
      <c r="M159" s="313" t="s">
        <v>188</v>
      </c>
      <c r="N159" s="314">
        <v>1.79</v>
      </c>
    </row>
    <row r="160" spans="12:14">
      <c r="L160" s="310" t="s">
        <v>68</v>
      </c>
      <c r="M160" s="313" t="s">
        <v>189</v>
      </c>
      <c r="N160" s="314">
        <v>0.73</v>
      </c>
    </row>
    <row r="161" spans="12:14">
      <c r="L161" s="310" t="s">
        <v>68</v>
      </c>
      <c r="M161" s="313" t="s">
        <v>190</v>
      </c>
      <c r="N161" s="314">
        <v>0.46</v>
      </c>
    </row>
    <row r="162" spans="12:14">
      <c r="L162" s="310" t="s">
        <v>69</v>
      </c>
      <c r="M162" s="313" t="s">
        <v>313</v>
      </c>
      <c r="N162" s="314">
        <v>0.49</v>
      </c>
    </row>
    <row r="163" spans="12:14">
      <c r="L163" s="310" t="s">
        <v>69</v>
      </c>
      <c r="M163" s="313" t="s">
        <v>314</v>
      </c>
      <c r="N163" s="314">
        <v>1.2</v>
      </c>
    </row>
    <row r="164" spans="12:14">
      <c r="L164" s="310" t="s">
        <v>69</v>
      </c>
      <c r="M164" s="313" t="s">
        <v>195</v>
      </c>
      <c r="N164" s="314">
        <v>0.77</v>
      </c>
    </row>
    <row r="165" spans="12:14">
      <c r="L165" s="310" t="s">
        <v>69</v>
      </c>
      <c r="M165" s="313" t="s">
        <v>196</v>
      </c>
      <c r="N165" s="314">
        <v>0.9</v>
      </c>
    </row>
    <row r="166" spans="12:14">
      <c r="L166" s="310" t="s">
        <v>69</v>
      </c>
      <c r="M166" s="313" t="s">
        <v>197</v>
      </c>
      <c r="N166" s="314">
        <v>1.06</v>
      </c>
    </row>
    <row r="167" spans="12:14">
      <c r="L167" s="310" t="s">
        <v>69</v>
      </c>
      <c r="M167" s="313" t="s">
        <v>198</v>
      </c>
      <c r="N167" s="314">
        <v>0.88</v>
      </c>
    </row>
    <row r="168" spans="12:14">
      <c r="L168" s="310" t="s">
        <v>69</v>
      </c>
      <c r="M168" s="313" t="s">
        <v>311</v>
      </c>
      <c r="N168" s="314">
        <v>0.59</v>
      </c>
    </row>
    <row r="169" spans="12:14">
      <c r="L169" s="310" t="s">
        <v>69</v>
      </c>
      <c r="M169" s="313" t="s">
        <v>312</v>
      </c>
      <c r="N169" s="314">
        <v>0.8</v>
      </c>
    </row>
    <row r="170" spans="12:14">
      <c r="L170" s="310" t="s">
        <v>69</v>
      </c>
      <c r="M170" s="313" t="s">
        <v>444</v>
      </c>
      <c r="N170" s="314">
        <v>0.72</v>
      </c>
    </row>
    <row r="171" spans="12:14">
      <c r="L171" s="310" t="s">
        <v>69</v>
      </c>
      <c r="M171" s="313" t="s">
        <v>445</v>
      </c>
      <c r="N171" s="314">
        <v>1.3</v>
      </c>
    </row>
    <row r="172" spans="12:14">
      <c r="L172" s="310" t="s">
        <v>69</v>
      </c>
      <c r="M172" s="313" t="s">
        <v>315</v>
      </c>
      <c r="N172" s="314">
        <v>0.49</v>
      </c>
    </row>
    <row r="173" spans="12:14">
      <c r="L173" s="310" t="s">
        <v>69</v>
      </c>
      <c r="M173" s="313" t="s">
        <v>316</v>
      </c>
      <c r="N173" s="314">
        <v>0.69</v>
      </c>
    </row>
    <row r="174" spans="12:14">
      <c r="L174" s="310" t="s">
        <v>184</v>
      </c>
      <c r="M174" s="313" t="s">
        <v>317</v>
      </c>
      <c r="N174" s="314">
        <v>0.61</v>
      </c>
    </row>
    <row r="175" spans="12:14">
      <c r="L175" s="310" t="s">
        <v>184</v>
      </c>
      <c r="M175" s="313" t="s">
        <v>318</v>
      </c>
      <c r="N175" s="314">
        <v>0.66</v>
      </c>
    </row>
    <row r="176" spans="12:14">
      <c r="L176" s="310" t="s">
        <v>185</v>
      </c>
      <c r="M176" s="313" t="s">
        <v>319</v>
      </c>
      <c r="N176" s="314">
        <v>0.49</v>
      </c>
    </row>
    <row r="177" spans="12:14">
      <c r="L177" s="310" t="s">
        <v>185</v>
      </c>
      <c r="M177" s="313" t="s">
        <v>320</v>
      </c>
      <c r="N177" s="314">
        <v>0.57999999999999996</v>
      </c>
    </row>
    <row r="178" spans="12:14">
      <c r="L178" s="310" t="s">
        <v>185</v>
      </c>
      <c r="M178" s="313" t="s">
        <v>321</v>
      </c>
      <c r="N178" s="314">
        <v>0.39</v>
      </c>
    </row>
    <row r="179" spans="12:14">
      <c r="L179" s="310" t="s">
        <v>126</v>
      </c>
      <c r="M179" s="313" t="s">
        <v>323</v>
      </c>
      <c r="N179" s="314">
        <v>0.53</v>
      </c>
    </row>
    <row r="180" spans="12:14">
      <c r="L180" s="310" t="s">
        <v>126</v>
      </c>
      <c r="M180" s="313" t="s">
        <v>324</v>
      </c>
      <c r="N180" s="314">
        <v>0.96</v>
      </c>
    </row>
    <row r="181" spans="12:14">
      <c r="L181" s="310" t="s">
        <v>126</v>
      </c>
      <c r="M181" s="313" t="s">
        <v>322</v>
      </c>
      <c r="N181" s="314">
        <v>1.0900000000000001</v>
      </c>
    </row>
    <row r="182" spans="12:14">
      <c r="L182" s="310" t="s">
        <v>36</v>
      </c>
      <c r="M182" s="313" t="s">
        <v>325</v>
      </c>
      <c r="N182" s="314">
        <v>0.66</v>
      </c>
    </row>
    <row r="183" spans="12:14">
      <c r="L183" s="310" t="s">
        <v>37</v>
      </c>
      <c r="M183" s="313" t="s">
        <v>327</v>
      </c>
      <c r="N183" s="314">
        <v>1.08</v>
      </c>
    </row>
    <row r="184" spans="12:14">
      <c r="L184" s="310" t="s">
        <v>37</v>
      </c>
      <c r="M184" s="313" t="s">
        <v>328</v>
      </c>
      <c r="N184" s="314">
        <v>1.19</v>
      </c>
    </row>
    <row r="185" spans="12:14">
      <c r="L185" s="310" t="s">
        <v>37</v>
      </c>
      <c r="M185" s="313" t="s">
        <v>329</v>
      </c>
      <c r="N185" s="314">
        <v>1.0990524291992187</v>
      </c>
    </row>
    <row r="186" spans="12:14">
      <c r="L186" s="310" t="s">
        <v>37</v>
      </c>
      <c r="M186" s="313" t="s">
        <v>330</v>
      </c>
      <c r="N186" s="314">
        <v>1.79</v>
      </c>
    </row>
    <row r="187" spans="12:14">
      <c r="L187" s="310" t="s">
        <v>37</v>
      </c>
      <c r="M187" s="313" t="s">
        <v>326</v>
      </c>
      <c r="N187" s="314">
        <v>1.0900000000000001</v>
      </c>
    </row>
    <row r="188" spans="12:14">
      <c r="L188" s="310" t="s">
        <v>37</v>
      </c>
      <c r="M188" s="313" t="s">
        <v>331</v>
      </c>
      <c r="N188" s="314">
        <v>0.57999999999999996</v>
      </c>
    </row>
    <row r="189" spans="12:14">
      <c r="L189" s="310" t="s">
        <v>37</v>
      </c>
      <c r="M189" s="313" t="s">
        <v>332</v>
      </c>
      <c r="N189" s="314">
        <v>0.89</v>
      </c>
    </row>
    <row r="190" spans="12:14">
      <c r="L190" s="310" t="s">
        <v>37</v>
      </c>
      <c r="M190" s="313" t="s">
        <v>333</v>
      </c>
      <c r="N190" s="314">
        <v>0.59728813171386719</v>
      </c>
    </row>
    <row r="191" spans="12:14">
      <c r="L191" s="310" t="s">
        <v>70</v>
      </c>
      <c r="M191" s="313" t="s">
        <v>334</v>
      </c>
      <c r="N191" s="314">
        <v>0.81</v>
      </c>
    </row>
    <row r="192" spans="12:14">
      <c r="L192" s="310" t="s">
        <v>70</v>
      </c>
      <c r="M192" s="313" t="s">
        <v>447</v>
      </c>
      <c r="N192" s="314">
        <v>0.84</v>
      </c>
    </row>
    <row r="193" spans="12:14">
      <c r="L193" s="310" t="s">
        <v>70</v>
      </c>
      <c r="M193" s="313" t="s">
        <v>448</v>
      </c>
      <c r="N193" s="314">
        <v>0.52</v>
      </c>
    </row>
    <row r="194" spans="12:14">
      <c r="L194" s="310" t="s">
        <v>124</v>
      </c>
      <c r="M194" s="313" t="s">
        <v>449</v>
      </c>
      <c r="N194" s="314">
        <v>1.77</v>
      </c>
    </row>
    <row r="195" spans="12:14">
      <c r="L195" s="310" t="s">
        <v>124</v>
      </c>
      <c r="M195" s="313" t="s">
        <v>450</v>
      </c>
      <c r="N195" s="314">
        <v>1.05</v>
      </c>
    </row>
    <row r="196" spans="12:14">
      <c r="L196" s="310" t="s">
        <v>124</v>
      </c>
      <c r="M196" s="313" t="s">
        <v>451</v>
      </c>
      <c r="N196" s="314">
        <v>0.8</v>
      </c>
    </row>
    <row r="197" spans="12:14">
      <c r="L197" s="310" t="s">
        <v>339</v>
      </c>
      <c r="M197" s="313" t="s">
        <v>452</v>
      </c>
      <c r="N197" s="314">
        <v>0.9</v>
      </c>
    </row>
    <row r="198" spans="12:14">
      <c r="L198" s="310" t="s">
        <v>339</v>
      </c>
      <c r="M198" s="313" t="s">
        <v>453</v>
      </c>
      <c r="N198" s="314">
        <v>1</v>
      </c>
    </row>
    <row r="199" spans="12:14">
      <c r="L199" s="310" t="s">
        <v>339</v>
      </c>
      <c r="M199" s="313" t="s">
        <v>454</v>
      </c>
      <c r="N199" s="314">
        <v>1.68</v>
      </c>
    </row>
    <row r="200" spans="12:14">
      <c r="L200" s="310" t="s">
        <v>339</v>
      </c>
      <c r="M200" s="313" t="s">
        <v>455</v>
      </c>
      <c r="N200" s="314">
        <v>0.88</v>
      </c>
    </row>
    <row r="201" spans="12:14">
      <c r="L201" s="310" t="s">
        <v>171</v>
      </c>
      <c r="M201" s="313" t="s">
        <v>456</v>
      </c>
      <c r="N201" s="314">
        <v>1.59</v>
      </c>
    </row>
    <row r="202" spans="12:14">
      <c r="L202" s="310" t="s">
        <v>171</v>
      </c>
      <c r="M202" s="313" t="s">
        <v>457</v>
      </c>
      <c r="N202" s="314">
        <v>0.69</v>
      </c>
    </row>
    <row r="203" spans="12:14">
      <c r="L203" s="310" t="s">
        <v>172</v>
      </c>
      <c r="M203" s="313" t="s">
        <v>458</v>
      </c>
      <c r="N203" s="314">
        <v>0.63</v>
      </c>
    </row>
    <row r="204" spans="12:14">
      <c r="L204" s="310" t="s">
        <v>172</v>
      </c>
      <c r="M204" s="313" t="s">
        <v>459</v>
      </c>
      <c r="N204" s="314">
        <v>1.0900000000000001</v>
      </c>
    </row>
    <row r="205" spans="12:14">
      <c r="L205" s="310" t="s">
        <v>172</v>
      </c>
      <c r="M205" s="313" t="s">
        <v>460</v>
      </c>
      <c r="N205" s="314">
        <v>0.4</v>
      </c>
    </row>
    <row r="206" spans="12:14">
      <c r="L206" s="310" t="s">
        <v>172</v>
      </c>
      <c r="M206" s="313" t="s">
        <v>461</v>
      </c>
      <c r="N206" s="314">
        <v>0.79</v>
      </c>
    </row>
    <row r="207" spans="12:14">
      <c r="L207" s="310" t="s">
        <v>172</v>
      </c>
      <c r="M207" s="313" t="s">
        <v>462</v>
      </c>
      <c r="N207" s="314">
        <v>0.28999999999999998</v>
      </c>
    </row>
    <row r="208" spans="12:14">
      <c r="L208" s="310" t="s">
        <v>173</v>
      </c>
      <c r="M208" s="313" t="s">
        <v>463</v>
      </c>
      <c r="N208" s="314">
        <v>0.93</v>
      </c>
    </row>
    <row r="209" spans="12:14">
      <c r="L209" s="310" t="s">
        <v>57</v>
      </c>
      <c r="M209" s="313" t="s">
        <v>464</v>
      </c>
      <c r="N209" s="314">
        <v>0.89</v>
      </c>
    </row>
    <row r="210" spans="12:14">
      <c r="L210" s="310" t="s">
        <v>57</v>
      </c>
      <c r="M210" s="313" t="s">
        <v>465</v>
      </c>
      <c r="N210" s="314">
        <v>1</v>
      </c>
    </row>
    <row r="211" spans="12:14">
      <c r="L211" s="310" t="s">
        <v>57</v>
      </c>
      <c r="M211" s="313" t="s">
        <v>466</v>
      </c>
      <c r="N211" s="314">
        <v>1.59</v>
      </c>
    </row>
    <row r="212" spans="12:14">
      <c r="L212" s="310" t="s">
        <v>57</v>
      </c>
      <c r="M212" s="313" t="s">
        <v>467</v>
      </c>
      <c r="N212" s="314">
        <v>1.7</v>
      </c>
    </row>
    <row r="213" spans="12:14">
      <c r="L213" s="310" t="s">
        <v>58</v>
      </c>
      <c r="M213" s="313" t="s">
        <v>468</v>
      </c>
      <c r="N213" s="314">
        <v>0.5</v>
      </c>
    </row>
    <row r="214" spans="12:14">
      <c r="L214" s="310" t="s">
        <v>71</v>
      </c>
      <c r="M214" s="315" t="s">
        <v>71</v>
      </c>
      <c r="N214" s="314">
        <v>0.65</v>
      </c>
    </row>
    <row r="215" spans="12:14">
      <c r="L215" s="310" t="s">
        <v>59</v>
      </c>
      <c r="M215" s="313" t="s">
        <v>342</v>
      </c>
      <c r="N215" s="314">
        <v>1.2</v>
      </c>
    </row>
    <row r="216" spans="12:14">
      <c r="L216" s="310" t="s">
        <v>59</v>
      </c>
      <c r="M216" s="313" t="s">
        <v>343</v>
      </c>
      <c r="N216" s="314">
        <v>0.86</v>
      </c>
    </row>
    <row r="217" spans="12:14">
      <c r="L217" s="310" t="s">
        <v>59</v>
      </c>
      <c r="M217" s="313" t="s">
        <v>344</v>
      </c>
      <c r="N217" s="314">
        <v>0.64</v>
      </c>
    </row>
    <row r="218" spans="12:14">
      <c r="L218" s="310" t="s">
        <v>60</v>
      </c>
      <c r="M218" s="313" t="s">
        <v>345</v>
      </c>
      <c r="N218" s="314">
        <v>1.49</v>
      </c>
    </row>
    <row r="219" spans="12:14">
      <c r="L219" s="310" t="s">
        <v>60</v>
      </c>
      <c r="M219" s="313" t="s">
        <v>346</v>
      </c>
      <c r="N219" s="314">
        <v>0.96</v>
      </c>
    </row>
    <row r="220" spans="12:14">
      <c r="L220" s="310" t="s">
        <v>60</v>
      </c>
      <c r="M220" s="313" t="s">
        <v>347</v>
      </c>
      <c r="N220" s="314">
        <v>0.89</v>
      </c>
    </row>
    <row r="221" spans="12:14">
      <c r="L221" s="310" t="s">
        <v>135</v>
      </c>
      <c r="M221" s="313" t="s">
        <v>348</v>
      </c>
      <c r="N221" s="314">
        <v>1.1000000000000001</v>
      </c>
    </row>
    <row r="222" spans="12:14">
      <c r="L222" s="310" t="s">
        <v>135</v>
      </c>
      <c r="M222" s="313" t="s">
        <v>349</v>
      </c>
      <c r="N222" s="314">
        <v>0.56999999999999995</v>
      </c>
    </row>
    <row r="223" spans="12:14">
      <c r="L223" s="310" t="s">
        <v>135</v>
      </c>
      <c r="M223" s="313" t="s">
        <v>350</v>
      </c>
      <c r="N223" s="314">
        <v>1.45</v>
      </c>
    </row>
    <row r="224" spans="12:14">
      <c r="L224" s="310" t="s">
        <v>135</v>
      </c>
      <c r="M224" s="313" t="s">
        <v>351</v>
      </c>
      <c r="N224" s="314">
        <v>1.2</v>
      </c>
    </row>
    <row r="225" spans="12:14">
      <c r="L225" s="310" t="s">
        <v>135</v>
      </c>
      <c r="M225" s="313" t="s">
        <v>352</v>
      </c>
      <c r="N225" s="314">
        <v>1.01</v>
      </c>
    </row>
    <row r="226" spans="12:14">
      <c r="L226" s="310" t="s">
        <v>135</v>
      </c>
      <c r="M226" s="313" t="s">
        <v>353</v>
      </c>
      <c r="N226" s="314">
        <v>0.74</v>
      </c>
    </row>
    <row r="227" spans="12:14">
      <c r="L227" s="310" t="s">
        <v>135</v>
      </c>
      <c r="M227" s="313" t="s">
        <v>354</v>
      </c>
      <c r="N227" s="314">
        <v>1.23</v>
      </c>
    </row>
    <row r="228" spans="12:14">
      <c r="L228" s="310" t="s">
        <v>135</v>
      </c>
      <c r="M228" s="313" t="s">
        <v>355</v>
      </c>
      <c r="N228" s="314">
        <v>0.88</v>
      </c>
    </row>
    <row r="229" spans="12:14">
      <c r="L229" s="310" t="s">
        <v>135</v>
      </c>
      <c r="M229" s="313" t="s">
        <v>356</v>
      </c>
      <c r="N229" s="314">
        <v>0.89</v>
      </c>
    </row>
    <row r="230" spans="12:14">
      <c r="L230" s="310" t="s">
        <v>135</v>
      </c>
      <c r="M230" s="313" t="s">
        <v>357</v>
      </c>
      <c r="N230" s="314">
        <v>0.99</v>
      </c>
    </row>
    <row r="231" spans="12:14">
      <c r="L231" s="310" t="s">
        <v>136</v>
      </c>
      <c r="M231" s="313" t="s">
        <v>358</v>
      </c>
      <c r="N231" s="314">
        <v>1.2088050842285156</v>
      </c>
    </row>
    <row r="232" spans="12:14">
      <c r="L232" s="310" t="s">
        <v>136</v>
      </c>
      <c r="M232" s="313" t="s">
        <v>359</v>
      </c>
      <c r="N232" s="314">
        <v>1.07</v>
      </c>
    </row>
    <row r="233" spans="12:14">
      <c r="L233" s="310" t="s">
        <v>136</v>
      </c>
      <c r="M233" s="313" t="s">
        <v>360</v>
      </c>
      <c r="N233" s="314">
        <v>1.2</v>
      </c>
    </row>
    <row r="234" spans="12:14">
      <c r="L234" s="310" t="s">
        <v>137</v>
      </c>
      <c r="M234" s="313" t="s">
        <v>361</v>
      </c>
      <c r="N234" s="314">
        <v>0.6</v>
      </c>
    </row>
    <row r="235" spans="12:14">
      <c r="L235" s="310" t="s">
        <v>137</v>
      </c>
      <c r="M235" s="313" t="s">
        <v>362</v>
      </c>
      <c r="N235" s="314">
        <v>1.8</v>
      </c>
    </row>
    <row r="236" spans="12:14">
      <c r="L236" s="310" t="s">
        <v>137</v>
      </c>
      <c r="M236" s="313" t="s">
        <v>475</v>
      </c>
      <c r="N236" s="314">
        <v>1.4</v>
      </c>
    </row>
    <row r="237" spans="12:14">
      <c r="L237" s="310" t="s">
        <v>138</v>
      </c>
      <c r="M237" s="313" t="s">
        <v>476</v>
      </c>
      <c r="N237" s="314">
        <v>0.65</v>
      </c>
    </row>
    <row r="238" spans="12:14">
      <c r="L238" s="310" t="s">
        <v>139</v>
      </c>
      <c r="M238" s="313" t="s">
        <v>477</v>
      </c>
      <c r="N238" s="314">
        <v>1.49</v>
      </c>
    </row>
    <row r="239" spans="12:14">
      <c r="L239" s="310" t="s">
        <v>139</v>
      </c>
      <c r="M239" s="313" t="s">
        <v>478</v>
      </c>
      <c r="N239" s="314">
        <v>0.71</v>
      </c>
    </row>
  </sheetData>
  <sheetProtection password="9DCD" sheet="1" objects="1" scenarios="1" selectLockedCells="1" selectUnlockedCells="1"/>
  <mergeCells count="1">
    <mergeCell ref="O1:T7"/>
  </mergeCells>
  <phoneticPr fontId="42" type="noConversion"/>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J16" sqref="J16"/>
    </sheetView>
  </sheetViews>
  <sheetFormatPr defaultColWidth="11.42578125" defaultRowHeight="12.75"/>
  <cols>
    <col min="1" max="16384" width="11.42578125" style="308"/>
  </cols>
  <sheetData/>
  <phoneticPr fontId="4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AJ74"/>
  <sheetViews>
    <sheetView zoomScale="75" zoomScaleNormal="77" workbookViewId="0">
      <selection activeCell="H13" sqref="H13:M13"/>
    </sheetView>
  </sheetViews>
  <sheetFormatPr defaultRowHeight="15"/>
  <cols>
    <col min="1" max="1" width="1.85546875" style="6" customWidth="1"/>
    <col min="2" max="2" width="2.28515625" style="6" customWidth="1"/>
    <col min="3" max="3" width="39" style="12" customWidth="1"/>
    <col min="4" max="4" width="20.42578125" style="6" customWidth="1"/>
    <col min="5" max="5" width="1.85546875" style="6" customWidth="1"/>
    <col min="6" max="6" width="27.85546875" style="6" customWidth="1"/>
    <col min="7" max="7" width="42.140625" style="6" customWidth="1"/>
    <col min="8" max="8" width="8.28515625" style="6" customWidth="1"/>
    <col min="9" max="9" width="5.85546875" style="6" customWidth="1"/>
    <col min="10" max="10" width="11.28515625" style="6" customWidth="1"/>
    <col min="11" max="11" width="17.28515625" style="6" customWidth="1"/>
    <col min="12" max="12" width="1.28515625" style="6" customWidth="1"/>
    <col min="13" max="13" width="9" style="6" customWidth="1"/>
    <col min="14" max="14" width="2.140625" style="6" customWidth="1"/>
    <col min="15" max="15" width="9.42578125" style="183" customWidth="1"/>
    <col min="16" max="16" width="5.85546875" style="34" hidden="1" customWidth="1"/>
    <col min="17" max="17" width="21.140625" style="34" hidden="1" customWidth="1"/>
    <col min="18" max="18" width="22.140625" style="34" hidden="1" customWidth="1"/>
    <col min="19" max="19" width="13.5703125" style="34" hidden="1" customWidth="1"/>
    <col min="20" max="20" width="20.7109375" style="34" hidden="1" customWidth="1"/>
    <col min="21" max="21" width="5.42578125" style="34" hidden="1" customWidth="1"/>
    <col min="22" max="22" width="7.140625" style="34" hidden="1" customWidth="1"/>
    <col min="23" max="23" width="19" style="34" hidden="1" customWidth="1"/>
    <col min="24" max="24" width="5.85546875" style="34" hidden="1" customWidth="1"/>
    <col min="25" max="25" width="4.42578125" style="34" hidden="1" customWidth="1"/>
    <col min="26" max="26" width="5.85546875" style="33" hidden="1" customWidth="1"/>
    <col min="27" max="27" width="8.42578125" style="33" hidden="1" customWidth="1"/>
    <col min="28" max="30" width="9.140625" style="33"/>
    <col min="31" max="16384" width="9.140625" style="6"/>
  </cols>
  <sheetData>
    <row r="1" spans="1:30" ht="40.5" customHeight="1">
      <c r="A1" s="6" t="s">
        <v>441</v>
      </c>
      <c r="B1" s="387" t="s">
        <v>491</v>
      </c>
      <c r="C1" s="387"/>
      <c r="D1" s="387"/>
      <c r="E1" s="387"/>
      <c r="F1" s="387"/>
      <c r="G1" s="387"/>
      <c r="H1" s="387"/>
      <c r="I1" s="387"/>
      <c r="J1" s="387"/>
      <c r="K1" s="387"/>
      <c r="L1" s="387"/>
      <c r="M1" s="387"/>
      <c r="N1" s="387"/>
    </row>
    <row r="2" spans="1:30" ht="9.75" customHeight="1" thickBot="1">
      <c r="B2" s="18"/>
      <c r="C2" s="23"/>
      <c r="D2" s="24"/>
      <c r="E2" s="25"/>
      <c r="F2" s="26"/>
      <c r="G2" s="22"/>
      <c r="H2" s="25"/>
      <c r="I2" s="25"/>
      <c r="J2" s="25"/>
      <c r="K2" s="25"/>
      <c r="L2" s="105"/>
      <c r="M2" s="18"/>
      <c r="N2" s="18"/>
    </row>
    <row r="3" spans="1:30" ht="122.25" customHeight="1">
      <c r="B3" s="18"/>
      <c r="C3" s="397" t="s">
        <v>127</v>
      </c>
      <c r="D3" s="224"/>
      <c r="E3" s="148"/>
      <c r="F3" s="223" t="s">
        <v>19</v>
      </c>
      <c r="G3" s="189" t="s">
        <v>12</v>
      </c>
      <c r="H3" s="401" t="s">
        <v>131</v>
      </c>
      <c r="I3" s="401"/>
      <c r="J3" s="401"/>
      <c r="K3" s="401"/>
      <c r="L3" s="401"/>
      <c r="M3" s="401"/>
      <c r="N3" s="18"/>
      <c r="O3" s="274"/>
      <c r="P3" s="44" t="str">
        <f>IF(H3="county","",VLOOKUP(H3,'No Edit'!A28:C85,3,0))</f>
        <v/>
      </c>
      <c r="Q3" s="44"/>
      <c r="R3" s="44"/>
      <c r="S3" s="44"/>
      <c r="T3" s="44"/>
      <c r="U3" s="44"/>
      <c r="V3" s="44"/>
      <c r="W3" s="44"/>
      <c r="X3" s="44"/>
      <c r="Y3" s="44"/>
      <c r="Z3" s="6"/>
      <c r="AA3" s="6"/>
      <c r="AB3" s="6"/>
      <c r="AC3" s="6"/>
      <c r="AD3" s="6"/>
    </row>
    <row r="4" spans="1:30" ht="123.75" customHeight="1" thickBot="1">
      <c r="B4" s="18"/>
      <c r="C4" s="398"/>
      <c r="D4" s="229"/>
      <c r="E4" s="149"/>
      <c r="F4" s="225"/>
      <c r="G4" s="189" t="s">
        <v>13</v>
      </c>
      <c r="H4" s="344" t="s">
        <v>479</v>
      </c>
      <c r="I4" s="344"/>
      <c r="J4" s="344"/>
      <c r="K4" s="344"/>
      <c r="L4" s="344"/>
      <c r="M4" s="344"/>
      <c r="N4" s="18"/>
      <c r="O4" s="274"/>
      <c r="P4" s="44">
        <f>IF(F4="",VLOOKUP('Volume Calculator'!H4,'No Edit'!M2:N239,2,0),F4)</f>
        <v>0</v>
      </c>
      <c r="Q4" s="44"/>
      <c r="R4" s="44"/>
      <c r="S4" s="44"/>
      <c r="T4" s="44"/>
      <c r="U4" s="44"/>
      <c r="V4" s="44"/>
      <c r="W4" s="44"/>
      <c r="X4" s="44"/>
      <c r="Y4" s="44"/>
      <c r="Z4" s="6"/>
      <c r="AA4" s="6"/>
      <c r="AB4" s="6"/>
      <c r="AC4" s="6"/>
      <c r="AD4" s="6"/>
    </row>
    <row r="5" spans="1:30" ht="22.5" customHeight="1">
      <c r="B5" s="18"/>
      <c r="C5" s="399" t="s">
        <v>337</v>
      </c>
      <c r="D5" s="400"/>
      <c r="E5" s="201"/>
      <c r="F5" s="202"/>
      <c r="G5" s="347" t="s">
        <v>179</v>
      </c>
      <c r="H5" s="347"/>
      <c r="I5" s="347"/>
      <c r="J5" s="347"/>
      <c r="K5" s="347"/>
      <c r="L5" s="347"/>
      <c r="M5" s="347"/>
      <c r="N5" s="18"/>
      <c r="O5" s="274"/>
      <c r="P5" s="44"/>
      <c r="Q5" s="44"/>
      <c r="R5" s="44" t="s">
        <v>25</v>
      </c>
      <c r="S5" s="44"/>
      <c r="T5" s="44"/>
      <c r="U5" s="44"/>
      <c r="V5" s="44"/>
      <c r="W5" s="44"/>
      <c r="X5" s="44"/>
      <c r="Y5" s="44"/>
      <c r="Z5" s="6"/>
      <c r="AA5" s="6"/>
      <c r="AB5" s="6"/>
      <c r="AC5" s="6"/>
      <c r="AD5" s="6"/>
    </row>
    <row r="6" spans="1:30" ht="123.75" customHeight="1" thickBot="1">
      <c r="B6" s="18"/>
      <c r="C6" s="203" t="s">
        <v>34</v>
      </c>
      <c r="D6" s="404" t="s">
        <v>443</v>
      </c>
      <c r="E6" s="404"/>
      <c r="F6" s="404"/>
      <c r="G6" s="191" t="s">
        <v>14</v>
      </c>
      <c r="H6" s="353" t="s">
        <v>26</v>
      </c>
      <c r="I6" s="354"/>
      <c r="J6" s="345" t="str">
        <f>IF(H6="Soil Type","",VLOOKUP(H6,'No Edit'!G1:I5,3,0))</f>
        <v/>
      </c>
      <c r="K6" s="346"/>
      <c r="L6" s="346"/>
      <c r="M6" s="346"/>
      <c r="N6" s="138"/>
      <c r="O6" s="286"/>
      <c r="P6" s="287"/>
      <c r="R6" s="321" t="s">
        <v>33</v>
      </c>
      <c r="S6" s="45" t="s">
        <v>31</v>
      </c>
      <c r="T6" s="44"/>
      <c r="U6" s="44"/>
      <c r="V6" s="44">
        <f>IF(H6="Soil Type",0,VLOOKUP(H6,'No Edit'!G2:H5,2,0))</f>
        <v>0</v>
      </c>
      <c r="W6" s="44"/>
      <c r="X6" s="288"/>
      <c r="Y6" s="288"/>
      <c r="Z6" s="289"/>
      <c r="AA6" s="289"/>
      <c r="AB6" s="289"/>
      <c r="AC6" s="6"/>
      <c r="AD6" s="6"/>
    </row>
    <row r="7" spans="1:30" ht="68.25" customHeight="1" thickBot="1">
      <c r="B7" s="18"/>
      <c r="C7" s="204" t="s">
        <v>21</v>
      </c>
      <c r="D7" s="427" t="s">
        <v>442</v>
      </c>
      <c r="E7" s="427"/>
      <c r="F7" s="427"/>
      <c r="G7" s="192" t="s">
        <v>15</v>
      </c>
      <c r="H7" s="394" t="s">
        <v>438</v>
      </c>
      <c r="I7" s="395"/>
      <c r="J7" s="395"/>
      <c r="K7" s="395"/>
      <c r="L7" s="395"/>
      <c r="M7" s="396"/>
      <c r="N7" s="139"/>
      <c r="O7" s="290"/>
      <c r="P7" s="291"/>
      <c r="Q7" s="175" t="s">
        <v>3</v>
      </c>
      <c r="R7" s="322">
        <f>IF(F11="",0,F11)</f>
        <v>0</v>
      </c>
      <c r="S7" s="323">
        <v>98</v>
      </c>
      <c r="T7" s="44"/>
      <c r="U7" s="44"/>
      <c r="V7" s="44">
        <f>IF(H7="Non-Built Land Use Type Pre Development",0,VLOOKUP(H7,'No Edit'!A3:E22,V6+1,0))</f>
        <v>0</v>
      </c>
      <c r="W7" s="44" t="s">
        <v>128</v>
      </c>
      <c r="X7" s="288"/>
      <c r="Y7" s="288"/>
      <c r="Z7" s="289"/>
      <c r="AA7" s="289"/>
      <c r="AB7" s="289"/>
      <c r="AC7" s="6"/>
      <c r="AD7" s="6"/>
    </row>
    <row r="8" spans="1:30" ht="82.5" customHeight="1" thickBot="1">
      <c r="B8" s="18"/>
      <c r="C8" s="205" t="s">
        <v>35</v>
      </c>
      <c r="D8" s="440" t="s">
        <v>182</v>
      </c>
      <c r="E8" s="440"/>
      <c r="F8" s="440"/>
      <c r="G8" s="193" t="s">
        <v>16</v>
      </c>
      <c r="H8" s="394" t="s">
        <v>437</v>
      </c>
      <c r="I8" s="395"/>
      <c r="J8" s="395"/>
      <c r="K8" s="395"/>
      <c r="L8" s="395"/>
      <c r="M8" s="396"/>
      <c r="N8" s="139"/>
      <c r="O8" s="290"/>
      <c r="P8" s="291"/>
      <c r="Q8" s="175"/>
      <c r="R8" s="281"/>
      <c r="S8" s="44"/>
      <c r="T8" s="44"/>
      <c r="U8" s="44"/>
      <c r="V8" s="44"/>
      <c r="W8" s="44"/>
      <c r="X8" s="288"/>
      <c r="Y8" s="288"/>
      <c r="Z8" s="289"/>
      <c r="AA8" s="289"/>
      <c r="AB8" s="289"/>
      <c r="AC8" s="6"/>
      <c r="AD8" s="6"/>
    </row>
    <row r="9" spans="1:30" ht="30" customHeight="1" thickBot="1">
      <c r="B9" s="18"/>
      <c r="C9" s="203" t="s">
        <v>90</v>
      </c>
      <c r="D9" s="404" t="s">
        <v>440</v>
      </c>
      <c r="E9" s="404"/>
      <c r="F9" s="404"/>
      <c r="G9" s="190"/>
      <c r="H9" s="437" t="s">
        <v>56</v>
      </c>
      <c r="I9" s="438"/>
      <c r="J9" s="439"/>
      <c r="K9" s="162"/>
      <c r="L9" s="163"/>
      <c r="M9" s="163"/>
      <c r="N9" s="139"/>
      <c r="O9" s="290"/>
      <c r="P9" s="291"/>
      <c r="Q9" s="175"/>
      <c r="R9" s="281"/>
      <c r="S9" s="44"/>
      <c r="T9" s="44"/>
      <c r="U9" s="44"/>
      <c r="V9" s="44"/>
      <c r="W9" s="44"/>
      <c r="X9" s="288"/>
      <c r="Y9" s="288"/>
      <c r="Z9" s="289"/>
      <c r="AA9" s="289"/>
      <c r="AB9" s="289"/>
      <c r="AC9" s="6"/>
      <c r="AD9" s="6"/>
    </row>
    <row r="10" spans="1:30" ht="14.25" customHeight="1">
      <c r="B10" s="18"/>
      <c r="C10" s="428" t="s">
        <v>492</v>
      </c>
      <c r="D10" s="429"/>
      <c r="E10" s="429"/>
      <c r="F10" s="430"/>
      <c r="G10" s="190"/>
      <c r="H10" s="352" t="s">
        <v>54</v>
      </c>
      <c r="I10" s="352"/>
      <c r="J10" s="184" t="s">
        <v>55</v>
      </c>
      <c r="K10" s="391" t="s">
        <v>55</v>
      </c>
      <c r="L10" s="392"/>
      <c r="M10" s="393"/>
      <c r="N10" s="139"/>
      <c r="O10" s="290"/>
      <c r="P10" s="291"/>
      <c r="Q10" s="175"/>
      <c r="R10" s="281"/>
      <c r="S10" s="44"/>
      <c r="T10" s="44"/>
      <c r="U10" s="44"/>
      <c r="V10" s="44"/>
      <c r="W10" s="44"/>
      <c r="X10" s="288"/>
      <c r="Y10" s="288"/>
      <c r="Z10" s="289"/>
      <c r="AA10" s="289"/>
      <c r="AB10" s="289"/>
      <c r="AC10" s="6"/>
      <c r="AD10" s="6"/>
    </row>
    <row r="11" spans="1:30" ht="33.75" customHeight="1">
      <c r="B11" s="18"/>
      <c r="C11" s="434" t="s">
        <v>528</v>
      </c>
      <c r="D11" s="435"/>
      <c r="E11" s="436"/>
      <c r="F11" s="206" t="str">
        <f>IF(H6="Soil Type","",IF(V7="FALSE","",IF(V16=0,"",IF(K16=0,"",((V16+((K17+K18)/K16)*(98-V16)))))))</f>
        <v/>
      </c>
      <c r="G11" s="194" t="s">
        <v>17</v>
      </c>
      <c r="H11" s="445"/>
      <c r="I11" s="446"/>
      <c r="J11" s="226"/>
      <c r="K11" s="348">
        <f>IF(H11="",J11,H11/43560)</f>
        <v>0</v>
      </c>
      <c r="L11" s="392"/>
      <c r="M11" s="392"/>
      <c r="N11" s="144"/>
      <c r="O11" s="290"/>
      <c r="P11" s="291"/>
      <c r="Q11" s="175"/>
      <c r="R11" s="281"/>
      <c r="S11" s="44"/>
      <c r="T11" s="44"/>
      <c r="U11" s="44"/>
      <c r="V11" s="44"/>
      <c r="W11" s="44"/>
      <c r="X11" s="288"/>
      <c r="Y11" s="288"/>
      <c r="Z11" s="289"/>
      <c r="AA11" s="289"/>
      <c r="AB11" s="289"/>
      <c r="AC11" s="6"/>
      <c r="AD11" s="6"/>
    </row>
    <row r="12" spans="1:30" ht="36" customHeight="1" thickBot="1">
      <c r="B12" s="18"/>
      <c r="C12" s="447" t="s">
        <v>529</v>
      </c>
      <c r="D12" s="448"/>
      <c r="E12" s="449"/>
      <c r="F12" s="207" t="str">
        <f>IF(H6="Soil Type","",IF(V17="FALSE","",IF(V18=0,"",IF(K16=0,"",(V18+((K19+K20)/K16)*(98-V18))))))</f>
        <v/>
      </c>
      <c r="G12" s="195" t="s">
        <v>18</v>
      </c>
      <c r="H12" s="445"/>
      <c r="I12" s="446"/>
      <c r="J12" s="226"/>
      <c r="K12" s="348">
        <f>IF(H12="",J12,H12/43560)</f>
        <v>0</v>
      </c>
      <c r="L12" s="392"/>
      <c r="M12" s="392"/>
      <c r="N12" s="144"/>
      <c r="O12" s="290"/>
      <c r="P12" s="291"/>
      <c r="Q12" s="175"/>
      <c r="R12" s="281"/>
      <c r="S12" s="44"/>
      <c r="T12" s="44"/>
      <c r="U12" s="44"/>
      <c r="V12" s="44"/>
      <c r="W12" s="44"/>
      <c r="X12" s="288"/>
      <c r="Y12" s="288"/>
      <c r="Z12" s="289"/>
      <c r="AA12" s="289"/>
      <c r="AB12" s="289"/>
      <c r="AC12" s="6"/>
      <c r="AD12" s="6"/>
    </row>
    <row r="13" spans="1:30" ht="33.75" customHeight="1">
      <c r="B13" s="18"/>
      <c r="C13" s="421" t="s">
        <v>503</v>
      </c>
      <c r="D13" s="422"/>
      <c r="E13" s="422"/>
      <c r="F13" s="423"/>
      <c r="G13" s="196" t="s">
        <v>78</v>
      </c>
      <c r="H13" s="388" t="str">
        <f>IF(K11=0,"",IF(K12=0,"",K12/K11))</f>
        <v/>
      </c>
      <c r="I13" s="389"/>
      <c r="J13" s="389"/>
      <c r="K13" s="389"/>
      <c r="L13" s="389"/>
      <c r="M13" s="390"/>
      <c r="N13" s="139"/>
      <c r="O13" s="290"/>
      <c r="P13" s="291"/>
      <c r="Q13" s="175"/>
      <c r="R13" s="281"/>
      <c r="S13" s="44"/>
      <c r="T13" s="44"/>
      <c r="U13" s="44"/>
      <c r="V13" s="44"/>
      <c r="W13" s="44"/>
      <c r="X13" s="288"/>
      <c r="Y13" s="288"/>
      <c r="Z13" s="289"/>
      <c r="AA13" s="289"/>
      <c r="AB13" s="289"/>
      <c r="AC13" s="6"/>
      <c r="AD13" s="6"/>
    </row>
    <row r="14" spans="1:30" ht="59.1" customHeight="1">
      <c r="B14" s="18"/>
      <c r="C14" s="186" t="s">
        <v>191</v>
      </c>
      <c r="D14" s="426" t="str">
        <f>IF(F4="",IF(H4="location",P3,P4),F4)</f>
        <v/>
      </c>
      <c r="E14" s="426"/>
      <c r="F14" s="208" t="s">
        <v>193</v>
      </c>
      <c r="G14" s="159"/>
      <c r="H14" s="161"/>
      <c r="I14" s="161"/>
      <c r="J14" s="161"/>
      <c r="K14" s="168"/>
      <c r="L14" s="169"/>
      <c r="M14" s="170"/>
      <c r="N14" s="139"/>
      <c r="O14" s="290"/>
      <c r="P14" s="291"/>
      <c r="Q14" s="175"/>
      <c r="R14" s="281"/>
      <c r="S14" s="44"/>
      <c r="T14" s="44"/>
      <c r="U14" s="44"/>
      <c r="V14" s="44"/>
      <c r="W14" s="44"/>
      <c r="X14" s="288"/>
      <c r="Y14" s="288"/>
      <c r="Z14" s="289"/>
      <c r="AA14" s="289"/>
      <c r="AB14" s="289"/>
      <c r="AC14" s="6"/>
      <c r="AD14" s="6"/>
    </row>
    <row r="15" spans="1:30" ht="48" customHeight="1">
      <c r="B15" s="18"/>
      <c r="C15" s="209" t="s">
        <v>7</v>
      </c>
      <c r="D15" s="426" t="str">
        <f>IF(D14="","",IF(R16="","",0.2*R16*1.01))</f>
        <v/>
      </c>
      <c r="E15" s="426"/>
      <c r="F15" s="208" t="s">
        <v>192</v>
      </c>
      <c r="G15" s="160" t="s">
        <v>469</v>
      </c>
      <c r="H15" s="431" t="s">
        <v>56</v>
      </c>
      <c r="I15" s="432"/>
      <c r="J15" s="433"/>
      <c r="K15" s="441" t="s">
        <v>80</v>
      </c>
      <c r="L15" s="442"/>
      <c r="M15" s="442"/>
      <c r="N15" s="139"/>
      <c r="O15" s="290"/>
      <c r="P15" s="291"/>
      <c r="Q15" s="175"/>
      <c r="R15" s="281"/>
      <c r="S15" s="44"/>
      <c r="T15" s="44"/>
      <c r="U15" s="44"/>
      <c r="V15" s="44"/>
      <c r="W15" s="44"/>
      <c r="X15" s="288"/>
      <c r="Y15" s="288"/>
      <c r="Z15" s="289"/>
      <c r="AA15" s="289"/>
      <c r="AB15" s="289"/>
      <c r="AC15" s="6"/>
      <c r="AD15" s="6"/>
    </row>
    <row r="16" spans="1:30" ht="36" customHeight="1">
      <c r="B16" s="18"/>
      <c r="C16" s="210" t="s">
        <v>125</v>
      </c>
      <c r="D16" s="426" t="str">
        <f>IF(D15&gt;D14, D15,D14)</f>
        <v/>
      </c>
      <c r="E16" s="426"/>
      <c r="F16" s="211" t="s">
        <v>192</v>
      </c>
      <c r="G16" s="187" t="s">
        <v>29</v>
      </c>
      <c r="H16" s="350" t="s">
        <v>54</v>
      </c>
      <c r="I16" s="351"/>
      <c r="J16" s="164" t="s">
        <v>55</v>
      </c>
      <c r="K16" s="348">
        <f>K12</f>
        <v>0</v>
      </c>
      <c r="L16" s="349"/>
      <c r="M16" s="349"/>
      <c r="N16" s="144"/>
      <c r="O16" s="274"/>
      <c r="P16" s="44"/>
      <c r="Q16" s="44" t="s">
        <v>47</v>
      </c>
      <c r="R16" s="279">
        <f>IF(R7=0,0,(1000/R7)-10)</f>
        <v>0</v>
      </c>
      <c r="S16" s="279">
        <f>(1000/S7)-10</f>
        <v>0.2</v>
      </c>
      <c r="T16" s="44"/>
      <c r="U16" s="44" t="s">
        <v>3</v>
      </c>
      <c r="V16" s="44" t="str">
        <f>IF(V6=0,"",V7)</f>
        <v/>
      </c>
      <c r="W16" s="44" t="s">
        <v>4</v>
      </c>
      <c r="X16" s="288"/>
      <c r="Y16" s="288"/>
      <c r="Z16" s="289"/>
      <c r="AA16" s="289"/>
      <c r="AB16" s="289"/>
      <c r="AC16" s="6"/>
      <c r="AD16" s="6"/>
    </row>
    <row r="17" spans="2:30" ht="32.25" customHeight="1">
      <c r="B17" s="18"/>
      <c r="C17" s="271" t="s">
        <v>30</v>
      </c>
      <c r="D17" s="212"/>
      <c r="E17" s="106"/>
      <c r="F17" s="213"/>
      <c r="G17" s="187" t="s">
        <v>494</v>
      </c>
      <c r="H17" s="450"/>
      <c r="I17" s="451"/>
      <c r="J17" s="227"/>
      <c r="K17" s="355">
        <f>IF(H17="",J17,H17/43560)</f>
        <v>0</v>
      </c>
      <c r="L17" s="356"/>
      <c r="M17" s="356"/>
      <c r="N17" s="144"/>
      <c r="O17" s="274"/>
      <c r="P17" s="252"/>
      <c r="Q17" s="280" t="s">
        <v>1</v>
      </c>
      <c r="R17" s="307">
        <f>IF(R16=0,0,IF(K16=K17+K18,(D16-(0.2*S16))^2/(D16+(0.8*S16)),(D16-(0.2*R16))^2/(D16+(0.8*R16))))</f>
        <v>0</v>
      </c>
      <c r="S17" s="283"/>
      <c r="T17" s="285">
        <f>R17</f>
        <v>0</v>
      </c>
      <c r="U17" s="252" t="s">
        <v>3</v>
      </c>
      <c r="V17" s="44">
        <f>IF(H8="Non-Built Land Use Type Post Development",0,VLOOKUP(H8,'No Edit'!A90:E105,V6+1,0))</f>
        <v>0</v>
      </c>
      <c r="W17" s="44" t="s">
        <v>194</v>
      </c>
      <c r="X17" s="288"/>
      <c r="Y17" s="288"/>
      <c r="Z17" s="289"/>
      <c r="AA17" s="289"/>
      <c r="AB17" s="289"/>
      <c r="AC17" s="6"/>
      <c r="AD17" s="6"/>
    </row>
    <row r="18" spans="2:30" ht="36" customHeight="1">
      <c r="B18" s="18"/>
      <c r="C18" s="214"/>
      <c r="D18" s="107"/>
      <c r="E18" s="108"/>
      <c r="F18" s="215"/>
      <c r="G18" s="187" t="s">
        <v>495</v>
      </c>
      <c r="H18" s="450"/>
      <c r="I18" s="451"/>
      <c r="J18" s="227"/>
      <c r="K18" s="355">
        <f>IF(H18="",J18,H18/43560)</f>
        <v>0</v>
      </c>
      <c r="L18" s="356"/>
      <c r="M18" s="356"/>
      <c r="N18" s="144"/>
      <c r="O18" s="274"/>
      <c r="P18" s="281"/>
      <c r="Q18" s="280" t="s">
        <v>2</v>
      </c>
      <c r="R18" s="285">
        <f>(R17/12)*((K16)*43560)</f>
        <v>0</v>
      </c>
      <c r="S18" s="282"/>
      <c r="T18" s="284">
        <f>R18</f>
        <v>0</v>
      </c>
      <c r="U18" s="281" t="s">
        <v>3</v>
      </c>
      <c r="V18" s="44" t="str">
        <f>IF(V6=0,"",V17)</f>
        <v/>
      </c>
      <c r="W18" s="44"/>
      <c r="X18" s="288"/>
      <c r="Y18" s="288"/>
      <c r="Z18" s="289"/>
      <c r="AA18" s="289"/>
      <c r="AB18" s="289"/>
      <c r="AC18" s="6"/>
      <c r="AD18" s="6"/>
    </row>
    <row r="19" spans="2:30" ht="35.25" customHeight="1">
      <c r="B19" s="18"/>
      <c r="C19" s="216"/>
      <c r="D19" s="108"/>
      <c r="E19" s="108"/>
      <c r="F19" s="215"/>
      <c r="G19" s="187" t="s">
        <v>496</v>
      </c>
      <c r="H19" s="450"/>
      <c r="I19" s="451"/>
      <c r="J19" s="227"/>
      <c r="K19" s="355">
        <f>IF(H19="",J19,H19/43560)</f>
        <v>0</v>
      </c>
      <c r="L19" s="356"/>
      <c r="M19" s="356"/>
      <c r="N19" s="144"/>
      <c r="O19" s="274">
        <f>SUM(K19:M20)</f>
        <v>0</v>
      </c>
      <c r="P19" s="44"/>
      <c r="Q19" s="44"/>
      <c r="R19" s="44"/>
      <c r="S19" s="44"/>
      <c r="T19" s="44"/>
      <c r="U19" s="44"/>
      <c r="V19" s="44"/>
      <c r="W19" s="44"/>
      <c r="X19" s="288"/>
      <c r="Y19" s="288"/>
      <c r="Z19" s="289"/>
      <c r="AA19" s="289"/>
      <c r="AB19" s="289"/>
      <c r="AC19" s="6"/>
      <c r="AD19" s="6"/>
    </row>
    <row r="20" spans="2:30" ht="33" customHeight="1">
      <c r="B20" s="18"/>
      <c r="C20" s="216"/>
      <c r="D20" s="108"/>
      <c r="E20" s="109"/>
      <c r="F20" s="215"/>
      <c r="G20" s="187" t="s">
        <v>497</v>
      </c>
      <c r="H20" s="357"/>
      <c r="I20" s="358"/>
      <c r="J20" s="228"/>
      <c r="K20" s="355">
        <f>IF(H20="",J20,H20/43560)</f>
        <v>0</v>
      </c>
      <c r="L20" s="356"/>
      <c r="M20" s="356"/>
      <c r="N20" s="145"/>
      <c r="O20" s="274">
        <f>'Porous Pavement'!I18</f>
        <v>0</v>
      </c>
      <c r="P20" s="44"/>
      <c r="Q20" s="44"/>
      <c r="R20" s="44"/>
      <c r="S20" s="44"/>
      <c r="T20" s="44"/>
      <c r="U20" s="44"/>
      <c r="V20" s="44"/>
      <c r="W20" s="288"/>
      <c r="X20" s="288"/>
      <c r="Y20" s="292"/>
      <c r="Z20" s="289"/>
      <c r="AA20" s="289"/>
      <c r="AB20" s="6"/>
      <c r="AC20" s="6"/>
      <c r="AD20" s="6"/>
    </row>
    <row r="21" spans="2:30" ht="24" customHeight="1">
      <c r="B21" s="18"/>
      <c r="C21" s="216"/>
      <c r="D21" s="108"/>
      <c r="E21" s="108"/>
      <c r="F21" s="215"/>
      <c r="G21" s="106"/>
      <c r="H21" s="165"/>
      <c r="I21" s="165"/>
      <c r="J21" s="165"/>
      <c r="K21" s="165"/>
      <c r="L21" s="166"/>
      <c r="M21" s="166"/>
      <c r="N21" s="18"/>
      <c r="O21" s="274"/>
      <c r="P21" s="44"/>
      <c r="Q21" s="44"/>
      <c r="R21" s="44"/>
      <c r="S21" s="44"/>
      <c r="T21" s="44"/>
      <c r="U21" s="44"/>
      <c r="V21" s="44"/>
      <c r="W21" s="44"/>
      <c r="X21" s="288"/>
      <c r="Y21" s="288"/>
      <c r="Z21" s="289"/>
      <c r="AA21" s="289"/>
      <c r="AB21" s="289"/>
      <c r="AC21" s="6"/>
      <c r="AD21" s="6"/>
    </row>
    <row r="22" spans="2:30" ht="17.100000000000001" customHeight="1">
      <c r="B22" s="18"/>
      <c r="C22" s="216"/>
      <c r="D22" s="108"/>
      <c r="E22" s="108"/>
      <c r="F22" s="215"/>
      <c r="G22" s="188" t="s">
        <v>62</v>
      </c>
      <c r="H22" s="360" t="s">
        <v>55</v>
      </c>
      <c r="I22" s="359"/>
      <c r="J22" s="359"/>
      <c r="K22" s="359" t="s">
        <v>92</v>
      </c>
      <c r="L22" s="359"/>
      <c r="M22" s="359"/>
      <c r="N22" s="140"/>
      <c r="O22" s="293"/>
      <c r="P22" s="294"/>
      <c r="Q22" s="44"/>
      <c r="R22" s="252"/>
      <c r="S22" s="252"/>
      <c r="T22" s="44"/>
      <c r="U22" s="44"/>
      <c r="V22" s="44"/>
      <c r="W22" s="44"/>
      <c r="X22" s="288"/>
      <c r="Y22" s="288">
        <f>SUM('Porous Pavement'!I18)</f>
        <v>0</v>
      </c>
      <c r="Z22" s="289" t="s">
        <v>5</v>
      </c>
      <c r="AA22" s="289"/>
      <c r="AB22" s="289"/>
      <c r="AC22" s="6"/>
      <c r="AD22" s="6"/>
    </row>
    <row r="23" spans="2:30" ht="16.5" customHeight="1">
      <c r="B23" s="18"/>
      <c r="C23" s="216"/>
      <c r="D23" s="108"/>
      <c r="E23" s="108"/>
      <c r="F23" s="215"/>
      <c r="G23" s="267" t="s">
        <v>42</v>
      </c>
      <c r="H23" s="348">
        <f>IF('Porous Pavement'!J16&gt;K20,"Error, value too high",'Porous Pavement'!J16)</f>
        <v>0</v>
      </c>
      <c r="I23" s="402"/>
      <c r="J23" s="403"/>
      <c r="K23" s="341">
        <f>IF(H23="Error, value too high","",H23*43560)</f>
        <v>0</v>
      </c>
      <c r="L23" s="342"/>
      <c r="M23" s="343"/>
      <c r="N23" s="141"/>
      <c r="O23" s="295"/>
      <c r="P23" s="296"/>
      <c r="Q23" s="44"/>
      <c r="R23" s="44"/>
      <c r="S23" s="44"/>
      <c r="T23" s="44"/>
      <c r="U23" s="44"/>
      <c r="V23" s="44"/>
      <c r="W23" s="44"/>
      <c r="X23" s="288"/>
      <c r="Y23" s="292">
        <f>SUM('Porous Pavement'!J16)</f>
        <v>0</v>
      </c>
      <c r="Z23" s="289" t="s">
        <v>6</v>
      </c>
      <c r="AA23" s="289"/>
      <c r="AB23" s="289"/>
      <c r="AC23" s="6"/>
      <c r="AD23" s="6"/>
    </row>
    <row r="24" spans="2:30" ht="18.75" customHeight="1">
      <c r="B24" s="18"/>
      <c r="C24" s="216"/>
      <c r="D24" s="108"/>
      <c r="E24" s="108"/>
      <c r="F24" s="215"/>
      <c r="G24" s="267" t="s">
        <v>52</v>
      </c>
      <c r="H24" s="340">
        <f>IF('Tree Planting'!J10&gt;K20,"Error, value too high",'Tree Planting'!J10)</f>
        <v>0</v>
      </c>
      <c r="I24" s="340"/>
      <c r="J24" s="340"/>
      <c r="K24" s="341">
        <f t="shared" ref="K24:K30" si="0">IF(H24="Error, value too high","",H24*43560)</f>
        <v>0</v>
      </c>
      <c r="L24" s="342"/>
      <c r="M24" s="343"/>
      <c r="N24" s="142"/>
      <c r="O24" s="293"/>
      <c r="P24" s="297"/>
      <c r="Q24" s="44"/>
      <c r="R24" s="44"/>
      <c r="S24" s="44"/>
      <c r="T24" s="44"/>
      <c r="U24" s="44"/>
      <c r="V24" s="44"/>
      <c r="W24" s="44"/>
      <c r="X24" s="288"/>
      <c r="Y24" s="288"/>
      <c r="Z24" s="289"/>
      <c r="AA24" s="289"/>
      <c r="AB24" s="289"/>
      <c r="AC24" s="6"/>
      <c r="AD24" s="6"/>
    </row>
    <row r="25" spans="2:30" ht="42" customHeight="1">
      <c r="B25" s="18"/>
      <c r="C25" s="217" t="s">
        <v>176</v>
      </c>
      <c r="D25" s="443">
        <f>IF(T18=0,0,T18)</f>
        <v>0</v>
      </c>
      <c r="E25" s="444"/>
      <c r="F25" s="218" t="s">
        <v>74</v>
      </c>
      <c r="G25" s="268" t="s">
        <v>155</v>
      </c>
      <c r="H25" s="340">
        <f>IF('Downspout Disconnection'!K14&lt;4,'Downspout Disconnection'!J12,IF((AND('Downspout Disconnection'!K8&gt;1,'Downspout Disconnection'!K9&lt;2)),'Downspout Disconnection'!J12/2,0))</f>
        <v>0</v>
      </c>
      <c r="I25" s="340"/>
      <c r="J25" s="340"/>
      <c r="K25" s="341">
        <f t="shared" si="0"/>
        <v>0</v>
      </c>
      <c r="L25" s="342"/>
      <c r="M25" s="343"/>
      <c r="N25" s="143"/>
      <c r="O25" s="293"/>
      <c r="P25" s="298"/>
      <c r="Q25" s="44"/>
      <c r="R25" s="44"/>
      <c r="S25" s="44"/>
      <c r="T25" s="44"/>
      <c r="U25" s="44"/>
      <c r="V25" s="44"/>
      <c r="W25" s="44"/>
      <c r="X25" s="44"/>
      <c r="Y25" s="44"/>
      <c r="Z25" s="6"/>
      <c r="AA25" s="6"/>
      <c r="AB25" s="6"/>
      <c r="AC25" s="6"/>
      <c r="AD25" s="6"/>
    </row>
    <row r="26" spans="2:30" ht="52.5" customHeight="1">
      <c r="B26" s="18"/>
      <c r="C26" s="219" t="s">
        <v>76</v>
      </c>
      <c r="D26" s="424">
        <f>IF(H8="Non-Built Land Use Type Post Development",0,IF(D25&gt;D52,0,IF(F53=0,0,D52-D25)))</f>
        <v>0</v>
      </c>
      <c r="E26" s="425"/>
      <c r="F26" s="220" t="s">
        <v>74</v>
      </c>
      <c r="G26" s="268" t="s">
        <v>105</v>
      </c>
      <c r="H26" s="348">
        <f>IF('Impervious Area Disconnection'!I9&gt;3,0,('Impervious Area Disconnection'!I11))</f>
        <v>0</v>
      </c>
      <c r="I26" s="402"/>
      <c r="J26" s="403"/>
      <c r="K26" s="341">
        <f t="shared" si="0"/>
        <v>0</v>
      </c>
      <c r="L26" s="342"/>
      <c r="M26" s="343"/>
      <c r="N26" s="143"/>
      <c r="O26" s="293"/>
      <c r="P26" s="298"/>
      <c r="Q26" s="44"/>
      <c r="R26" s="281">
        <f>D26</f>
        <v>0</v>
      </c>
      <c r="S26" s="44"/>
      <c r="T26" s="44"/>
      <c r="U26" s="44"/>
      <c r="V26" s="44"/>
      <c r="W26" s="44"/>
      <c r="X26" s="44"/>
      <c r="Y26" s="288"/>
      <c r="Z26" s="289"/>
      <c r="AA26" s="6"/>
      <c r="AB26" s="6"/>
      <c r="AC26" s="6"/>
      <c r="AD26" s="6"/>
    </row>
    <row r="27" spans="2:30" ht="15" customHeight="1">
      <c r="B27" s="18"/>
      <c r="C27" s="221"/>
      <c r="D27" s="182"/>
      <c r="E27" s="182"/>
      <c r="F27" s="222"/>
      <c r="G27" s="268" t="s">
        <v>203</v>
      </c>
      <c r="H27" s="340">
        <f>IF(GreenRoofs!I10&lt;4,GreenRoofs!H11,0)</f>
        <v>0</v>
      </c>
      <c r="I27" s="340"/>
      <c r="J27" s="340"/>
      <c r="K27" s="341">
        <f t="shared" si="0"/>
        <v>0</v>
      </c>
      <c r="L27" s="342"/>
      <c r="M27" s="343"/>
      <c r="N27" s="143"/>
      <c r="O27" s="293"/>
      <c r="P27" s="298"/>
      <c r="Q27" s="44"/>
      <c r="R27" s="44"/>
      <c r="S27" s="44"/>
      <c r="T27" s="44"/>
      <c r="U27" s="44"/>
      <c r="V27" s="44"/>
      <c r="W27" s="44"/>
      <c r="X27" s="44"/>
      <c r="Y27" s="288"/>
      <c r="Z27" s="289"/>
      <c r="AA27" s="6"/>
      <c r="AB27" s="6"/>
      <c r="AC27" s="6"/>
      <c r="AD27" s="6"/>
    </row>
    <row r="28" spans="2:30" ht="16.5" customHeight="1">
      <c r="B28" s="18"/>
      <c r="C28" s="221"/>
      <c r="D28" s="182"/>
      <c r="E28" s="182"/>
      <c r="F28" s="222"/>
      <c r="G28" s="268" t="s">
        <v>67</v>
      </c>
      <c r="H28" s="340">
        <f>IF('Stream Buffer'!I11&lt;5,'Stream Buffer'!H12,0)</f>
        <v>0</v>
      </c>
      <c r="I28" s="340"/>
      <c r="J28" s="340"/>
      <c r="K28" s="341">
        <f t="shared" si="0"/>
        <v>0</v>
      </c>
      <c r="L28" s="342"/>
      <c r="M28" s="343"/>
      <c r="N28" s="143"/>
      <c r="O28" s="293"/>
      <c r="P28" s="298"/>
      <c r="Q28" s="297"/>
      <c r="R28" s="297"/>
      <c r="S28" s="44"/>
      <c r="T28" s="44"/>
      <c r="U28" s="44"/>
      <c r="V28" s="44"/>
      <c r="W28" s="44"/>
      <c r="X28" s="44"/>
      <c r="Y28" s="288"/>
      <c r="Z28" s="289"/>
      <c r="AA28" s="6"/>
      <c r="AB28" s="6"/>
      <c r="AC28" s="6"/>
      <c r="AD28" s="6"/>
    </row>
    <row r="29" spans="2:30" ht="26.25" customHeight="1">
      <c r="B29" s="18"/>
      <c r="C29" s="414" t="s">
        <v>77</v>
      </c>
      <c r="D29" s="415">
        <f>IF(OR(D26=0,H37&gt;D26),0,D26-H37)</f>
        <v>0</v>
      </c>
      <c r="E29" s="416"/>
      <c r="F29" s="363" t="s">
        <v>74</v>
      </c>
      <c r="G29" s="268" t="s">
        <v>106</v>
      </c>
      <c r="H29" s="340">
        <f>IF('Vegetated Swale'!J9&lt;3,'Vegetated Swale'!I11,0)</f>
        <v>0</v>
      </c>
      <c r="I29" s="340"/>
      <c r="J29" s="340"/>
      <c r="K29" s="341">
        <f t="shared" si="0"/>
        <v>0</v>
      </c>
      <c r="L29" s="342"/>
      <c r="M29" s="343"/>
      <c r="N29" s="143"/>
      <c r="O29" s="293"/>
      <c r="P29" s="298"/>
      <c r="Q29" s="297"/>
      <c r="R29" s="297"/>
      <c r="S29" s="44"/>
      <c r="T29" s="44"/>
      <c r="U29" s="44"/>
      <c r="V29" s="44"/>
      <c r="W29" s="44"/>
      <c r="X29" s="44"/>
      <c r="Y29" s="288"/>
      <c r="Z29" s="289"/>
      <c r="AA29" s="6"/>
      <c r="AB29" s="6"/>
      <c r="AC29" s="6"/>
      <c r="AD29" s="6"/>
    </row>
    <row r="30" spans="2:30" ht="33" customHeight="1" thickBot="1">
      <c r="B30" s="18"/>
      <c r="C30" s="414"/>
      <c r="D30" s="417"/>
      <c r="E30" s="418"/>
      <c r="F30" s="364"/>
      <c r="G30" s="197" t="s">
        <v>48</v>
      </c>
      <c r="H30" s="384">
        <f>SUM(H23:J29)</f>
        <v>0</v>
      </c>
      <c r="I30" s="384"/>
      <c r="J30" s="384"/>
      <c r="K30" s="341">
        <f t="shared" si="0"/>
        <v>0</v>
      </c>
      <c r="L30" s="342"/>
      <c r="M30" s="343"/>
      <c r="N30" s="143"/>
      <c r="O30" s="293"/>
      <c r="P30" s="298"/>
      <c r="Q30" s="297"/>
      <c r="R30" s="297"/>
      <c r="S30" s="44"/>
      <c r="T30" s="44"/>
      <c r="U30" s="44"/>
      <c r="V30" s="44"/>
      <c r="W30" s="44"/>
      <c r="X30" s="44"/>
      <c r="Y30" s="288"/>
      <c r="Z30" s="289"/>
      <c r="AA30" s="6"/>
      <c r="AB30" s="6"/>
      <c r="AC30" s="6"/>
      <c r="AD30" s="6"/>
    </row>
    <row r="31" spans="2:30" ht="39.75" customHeight="1">
      <c r="B31" s="18"/>
      <c r="C31" s="414"/>
      <c r="D31" s="419"/>
      <c r="E31" s="420"/>
      <c r="F31" s="365"/>
      <c r="G31" s="198" t="s">
        <v>530</v>
      </c>
      <c r="H31" s="371">
        <f>IF(D16="",0,((H30*43560)*(D51)/12))</f>
        <v>0</v>
      </c>
      <c r="I31" s="372"/>
      <c r="J31" s="377" t="s">
        <v>446</v>
      </c>
      <c r="K31" s="378"/>
      <c r="L31" s="378"/>
      <c r="M31" s="379"/>
      <c r="N31" s="143"/>
      <c r="O31" s="293"/>
      <c r="P31" s="298"/>
      <c r="Q31" s="299"/>
      <c r="R31" s="300"/>
      <c r="S31" s="44"/>
      <c r="T31" s="44"/>
      <c r="U31" s="44"/>
      <c r="V31" s="44"/>
      <c r="W31" s="44"/>
      <c r="X31" s="44"/>
      <c r="Y31" s="288"/>
      <c r="Z31" s="289"/>
      <c r="AA31" s="6"/>
      <c r="AB31" s="6"/>
      <c r="AC31" s="6"/>
      <c r="AD31" s="6"/>
    </row>
    <row r="32" spans="2:30" ht="45.75" customHeight="1">
      <c r="B32" s="18"/>
      <c r="C32" s="411" t="str">
        <f>IF(D29&lt;=0,"You have achieved your minimum requirements"," You need to do more impervious area reduction to meet minimum requirements")</f>
        <v>You have achieved your minimum requirements</v>
      </c>
      <c r="D32" s="412"/>
      <c r="E32" s="412"/>
      <c r="F32" s="413"/>
      <c r="G32" s="199"/>
      <c r="H32" s="110"/>
      <c r="I32" s="110"/>
      <c r="J32" s="110"/>
      <c r="K32" s="110"/>
      <c r="L32" s="137"/>
      <c r="M32" s="137"/>
      <c r="N32" s="143"/>
      <c r="O32" s="293"/>
      <c r="P32" s="298"/>
      <c r="Q32" s="299"/>
      <c r="R32" s="300"/>
      <c r="S32" s="44"/>
      <c r="T32" s="44"/>
      <c r="U32" s="44"/>
      <c r="V32" s="44"/>
      <c r="W32" s="44"/>
      <c r="X32" s="44"/>
      <c r="Y32" s="288"/>
      <c r="Z32" s="289"/>
      <c r="AA32" s="6"/>
      <c r="AB32" s="6"/>
      <c r="AC32" s="6"/>
      <c r="AD32" s="6"/>
    </row>
    <row r="33" spans="2:36" ht="42.75" customHeight="1" thickBot="1">
      <c r="B33" s="18"/>
      <c r="C33" s="411"/>
      <c r="D33" s="412"/>
      <c r="E33" s="412"/>
      <c r="F33" s="413"/>
      <c r="G33" s="200" t="s">
        <v>470</v>
      </c>
      <c r="H33" s="380" t="s">
        <v>133</v>
      </c>
      <c r="I33" s="381"/>
      <c r="J33" s="381"/>
      <c r="K33" s="381"/>
      <c r="L33" s="362"/>
      <c r="M33" s="362"/>
      <c r="N33" s="143"/>
      <c r="O33" s="293"/>
      <c r="P33" s="298"/>
      <c r="Q33" s="301"/>
      <c r="R33" s="302"/>
      <c r="S33" s="44"/>
      <c r="T33" s="44"/>
      <c r="U33" s="44"/>
      <c r="V33" s="44"/>
      <c r="W33" s="44"/>
      <c r="X33" s="44"/>
      <c r="Y33" s="44"/>
      <c r="Z33" s="6"/>
      <c r="AA33" s="6"/>
      <c r="AB33" s="6"/>
      <c r="AC33" s="6"/>
      <c r="AD33" s="6"/>
    </row>
    <row r="34" spans="2:36" ht="35.25" customHeight="1" thickTop="1">
      <c r="B34" s="18"/>
      <c r="C34" s="411"/>
      <c r="D34" s="412"/>
      <c r="E34" s="412"/>
      <c r="F34" s="413"/>
      <c r="G34" s="269" t="s">
        <v>107</v>
      </c>
      <c r="H34" s="368">
        <f>'Rain Barrels &amp; Cisterns'!E6</f>
        <v>0</v>
      </c>
      <c r="I34" s="369"/>
      <c r="J34" s="382" t="str">
        <f>IF(H34="","","Cu. Ft.")</f>
        <v>Cu. Ft.</v>
      </c>
      <c r="K34" s="383"/>
      <c r="L34" s="383"/>
      <c r="M34" s="383"/>
      <c r="N34" s="143"/>
      <c r="O34" s="293"/>
      <c r="P34" s="298"/>
      <c r="Q34" s="303"/>
      <c r="R34" s="303"/>
      <c r="S34" s="44"/>
      <c r="T34" s="44"/>
      <c r="U34" s="44"/>
      <c r="V34" s="44"/>
      <c r="W34" s="44"/>
      <c r="X34" s="44"/>
      <c r="Y34" s="44"/>
      <c r="Z34" s="6"/>
      <c r="AA34" s="6"/>
      <c r="AB34" s="6"/>
      <c r="AC34" s="6"/>
      <c r="AD34" s="6"/>
    </row>
    <row r="35" spans="2:36" ht="15" customHeight="1" thickBot="1">
      <c r="B35" s="18"/>
      <c r="C35" s="411"/>
      <c r="D35" s="412"/>
      <c r="E35" s="412"/>
      <c r="F35" s="413"/>
      <c r="G35" s="270" t="s">
        <v>493</v>
      </c>
      <c r="H35" s="373">
        <f>IF('Soil Quality'!J8=1,'Soil Quality'!G15,0)</f>
        <v>0</v>
      </c>
      <c r="I35" s="374"/>
      <c r="J35" s="181" t="str">
        <f>IF(H35="","","Cu. Ft.")</f>
        <v>Cu. Ft.</v>
      </c>
      <c r="K35" s="370"/>
      <c r="L35" s="356"/>
      <c r="M35" s="356"/>
      <c r="N35" s="171"/>
      <c r="O35" s="286"/>
      <c r="P35" s="287"/>
      <c r="Q35" s="287"/>
      <c r="R35" s="287"/>
      <c r="S35" s="304"/>
      <c r="T35" s="304"/>
      <c r="U35" s="304"/>
      <c r="V35" s="304"/>
      <c r="W35" s="304"/>
      <c r="X35" s="304"/>
      <c r="Y35" s="304"/>
      <c r="Z35" s="305"/>
      <c r="AA35" s="305"/>
      <c r="AB35" s="305"/>
      <c r="AC35" s="6"/>
      <c r="AD35" s="6"/>
    </row>
    <row r="36" spans="2:36" ht="35.25" customHeight="1" thickTop="1" thickBot="1">
      <c r="B36" s="18"/>
      <c r="C36" s="411"/>
      <c r="D36" s="412"/>
      <c r="E36" s="412"/>
      <c r="F36" s="413"/>
      <c r="G36" s="176" t="s">
        <v>439</v>
      </c>
      <c r="H36" s="385">
        <f>SUM(H34:I35)</f>
        <v>0</v>
      </c>
      <c r="I36" s="386"/>
      <c r="J36" s="366" t="str">
        <f>IF(H36="","","Cu. Ft.")</f>
        <v>Cu. Ft.</v>
      </c>
      <c r="K36" s="367"/>
      <c r="L36" s="367"/>
      <c r="M36" s="367"/>
      <c r="N36" s="171"/>
      <c r="O36" s="286"/>
      <c r="P36" s="287"/>
      <c r="Q36" s="287"/>
      <c r="R36" s="287"/>
      <c r="S36" s="304"/>
      <c r="T36" s="304"/>
      <c r="U36" s="304"/>
      <c r="V36" s="304"/>
      <c r="W36" s="304"/>
      <c r="X36" s="304"/>
      <c r="Y36" s="304"/>
      <c r="Z36" s="305"/>
      <c r="AA36" s="305"/>
      <c r="AB36" s="305"/>
      <c r="AC36" s="6"/>
      <c r="AD36" s="6"/>
    </row>
    <row r="37" spans="2:36" ht="33.75" customHeight="1" thickTop="1">
      <c r="B37" s="18"/>
      <c r="C37" s="405"/>
      <c r="D37" s="407"/>
      <c r="E37" s="407"/>
      <c r="F37" s="409" t="str">
        <f>IF(E47=0,"",IF(D37&lt;=0,""," Cu.Ft."))</f>
        <v/>
      </c>
      <c r="G37" s="177" t="s">
        <v>310</v>
      </c>
      <c r="H37" s="375">
        <f>H36+H31</f>
        <v>0</v>
      </c>
      <c r="I37" s="376"/>
      <c r="J37" s="361" t="str">
        <f>IF(H37="","","Cu. Ft.")</f>
        <v>Cu. Ft.</v>
      </c>
      <c r="K37" s="362"/>
      <c r="L37" s="362"/>
      <c r="M37" s="362"/>
      <c r="N37" s="171"/>
      <c r="O37" s="286"/>
      <c r="P37" s="287"/>
      <c r="Q37" s="287"/>
      <c r="R37" s="287"/>
      <c r="S37" s="304"/>
      <c r="T37" s="304"/>
      <c r="U37" s="304"/>
      <c r="V37" s="304"/>
      <c r="W37" s="304"/>
      <c r="X37" s="304"/>
      <c r="Y37" s="304"/>
      <c r="Z37" s="305"/>
      <c r="AA37" s="305"/>
      <c r="AB37" s="305"/>
      <c r="AC37" s="6"/>
      <c r="AD37" s="6"/>
    </row>
    <row r="38" spans="2:36" ht="30.75" customHeight="1">
      <c r="B38" s="18"/>
      <c r="C38" s="406"/>
      <c r="D38" s="408"/>
      <c r="E38" s="408"/>
      <c r="F38" s="410"/>
      <c r="G38" s="18"/>
      <c r="H38" s="18"/>
      <c r="I38" s="18"/>
      <c r="J38" s="18"/>
      <c r="K38" s="18"/>
      <c r="L38" s="18"/>
      <c r="M38" s="18"/>
      <c r="N38" s="171"/>
      <c r="O38" s="274"/>
      <c r="P38" s="44"/>
      <c r="Q38" s="44"/>
      <c r="R38" s="44"/>
      <c r="S38" s="44"/>
      <c r="T38" s="44"/>
      <c r="U38" s="44"/>
      <c r="V38" s="44"/>
      <c r="W38" s="44"/>
      <c r="X38" s="44"/>
      <c r="Y38" s="44"/>
      <c r="Z38" s="6"/>
      <c r="AA38" s="6"/>
      <c r="AB38" s="306"/>
      <c r="AC38" s="6"/>
      <c r="AD38" s="6"/>
    </row>
    <row r="39" spans="2:36" ht="15" customHeight="1" thickBot="1">
      <c r="B39" s="18"/>
      <c r="C39" s="178"/>
      <c r="D39" s="179"/>
      <c r="E39" s="179"/>
      <c r="F39" s="180"/>
      <c r="G39" s="329"/>
      <c r="H39" s="18"/>
      <c r="I39" s="18"/>
      <c r="J39" s="18"/>
      <c r="K39" s="18"/>
      <c r="L39" s="18"/>
      <c r="M39" s="18"/>
      <c r="N39" s="18"/>
      <c r="O39" s="274"/>
      <c r="P39" s="44"/>
      <c r="Q39" s="44"/>
      <c r="R39" s="44"/>
      <c r="S39" s="44"/>
      <c r="T39" s="44"/>
      <c r="U39" s="44"/>
      <c r="V39" s="44"/>
      <c r="W39" s="44"/>
      <c r="X39" s="44"/>
      <c r="Y39" s="44"/>
      <c r="Z39" s="6"/>
      <c r="AA39" s="6"/>
      <c r="AB39" s="6"/>
      <c r="AC39" s="6"/>
      <c r="AD39" s="6"/>
    </row>
    <row r="40" spans="2:36" ht="20.25" customHeight="1">
      <c r="D40" s="33">
        <f>IF(D29&lt;=D25,0,"")</f>
        <v>0</v>
      </c>
      <c r="O40" s="274"/>
      <c r="P40" s="44"/>
      <c r="Q40" s="44"/>
      <c r="R40" s="44"/>
      <c r="S40" s="44"/>
      <c r="T40" s="44"/>
      <c r="U40" s="44"/>
      <c r="V40" s="44"/>
      <c r="W40" s="44"/>
      <c r="X40" s="44"/>
      <c r="Y40" s="44"/>
      <c r="Z40" s="6"/>
      <c r="AA40" s="6"/>
      <c r="AB40" s="6"/>
      <c r="AC40" s="6"/>
      <c r="AD40" s="6"/>
    </row>
    <row r="41" spans="2:36" ht="20.25" customHeight="1">
      <c r="O41" s="274"/>
      <c r="P41" s="44"/>
      <c r="Q41" s="44"/>
      <c r="R41" s="44"/>
      <c r="S41" s="43"/>
      <c r="T41" s="44"/>
      <c r="U41" s="44"/>
      <c r="V41" s="44"/>
      <c r="W41" s="44"/>
      <c r="X41" s="44"/>
      <c r="Y41" s="44"/>
      <c r="Z41" s="6"/>
      <c r="AA41" s="6"/>
      <c r="AB41" s="6"/>
      <c r="AC41" s="6"/>
      <c r="AD41" s="6"/>
    </row>
    <row r="42" spans="2:36" ht="20.25" customHeight="1">
      <c r="J42" s="275"/>
      <c r="K42" s="172"/>
      <c r="L42" s="172"/>
      <c r="M42" s="172"/>
      <c r="O42" s="274"/>
      <c r="P42" s="44"/>
      <c r="Q42" s="44"/>
      <c r="R42" s="44"/>
      <c r="S42" s="44"/>
      <c r="T42" s="44"/>
      <c r="U42" s="44"/>
      <c r="V42" s="44"/>
      <c r="W42" s="44"/>
      <c r="X42" s="44"/>
      <c r="Y42" s="44"/>
      <c r="Z42" s="6"/>
      <c r="AA42" s="6"/>
      <c r="AB42" s="6"/>
      <c r="AC42" s="6"/>
      <c r="AD42" s="6"/>
    </row>
    <row r="43" spans="2:36" s="32" customFormat="1" ht="18" customHeight="1">
      <c r="C43" s="12"/>
      <c r="D43" s="6"/>
      <c r="E43" s="6"/>
      <c r="F43" s="6"/>
      <c r="G43" s="44"/>
      <c r="H43" s="44"/>
      <c r="I43" s="44"/>
      <c r="J43" s="174"/>
      <c r="K43" s="174"/>
      <c r="L43" s="174"/>
      <c r="M43" s="174"/>
      <c r="N43" s="172"/>
      <c r="O43" s="274"/>
      <c r="P43" s="44"/>
      <c r="Q43" s="44"/>
      <c r="R43" s="44"/>
      <c r="S43" s="43"/>
      <c r="T43" s="43"/>
      <c r="U43" s="43"/>
      <c r="V43" s="43"/>
      <c r="W43" s="43"/>
      <c r="X43" s="43"/>
      <c r="Y43" s="43"/>
      <c r="Z43" s="13"/>
      <c r="AA43" s="13"/>
      <c r="AB43" s="13"/>
      <c r="AC43" s="13"/>
      <c r="AD43" s="13"/>
      <c r="AE43" s="13"/>
      <c r="AF43" s="13"/>
      <c r="AG43" s="13"/>
      <c r="AH43" s="13"/>
      <c r="AI43" s="13"/>
      <c r="AJ43" s="13"/>
    </row>
    <row r="44" spans="2:36" s="44" customFormat="1" ht="15.75">
      <c r="C44" s="175"/>
      <c r="J44" s="174"/>
      <c r="K44" s="174"/>
      <c r="L44" s="174"/>
      <c r="M44" s="173"/>
      <c r="N44" s="173"/>
      <c r="O44" s="252"/>
    </row>
    <row r="45" spans="2:36" s="44" customFormat="1">
      <c r="C45" s="175"/>
      <c r="N45" s="174"/>
      <c r="O45" s="252"/>
    </row>
    <row r="46" spans="2:36" s="34" customFormat="1" ht="15.75">
      <c r="C46" s="175"/>
      <c r="D46" s="44"/>
      <c r="E46" s="44"/>
      <c r="F46" s="44"/>
      <c r="G46" s="43"/>
      <c r="H46" s="43"/>
      <c r="I46" s="43"/>
      <c r="J46" s="44"/>
      <c r="K46" s="43"/>
      <c r="L46" s="43"/>
      <c r="M46" s="43"/>
      <c r="N46" s="43"/>
      <c r="O46" s="252"/>
      <c r="P46" s="44"/>
      <c r="Q46" s="44"/>
      <c r="R46" s="44"/>
      <c r="S46" s="44"/>
      <c r="T46" s="44"/>
      <c r="U46" s="44"/>
      <c r="V46" s="44"/>
      <c r="W46" s="44"/>
      <c r="X46" s="44"/>
      <c r="Y46" s="44"/>
      <c r="Z46" s="44"/>
      <c r="AA46" s="44"/>
      <c r="AB46" s="44"/>
      <c r="AC46" s="44"/>
      <c r="AD46" s="44"/>
      <c r="AE46" s="44"/>
      <c r="AF46" s="44"/>
      <c r="AG46" s="44"/>
    </row>
    <row r="47" spans="2:36" s="34" customFormat="1" hidden="1">
      <c r="C47" s="175"/>
      <c r="D47" s="44"/>
      <c r="E47" s="44"/>
      <c r="F47" s="44"/>
      <c r="G47" s="44"/>
      <c r="H47" s="44"/>
      <c r="I47" s="44"/>
      <c r="J47" s="44"/>
      <c r="K47" s="44"/>
      <c r="L47" s="44"/>
      <c r="M47" s="44"/>
      <c r="N47" s="44"/>
      <c r="O47" s="252"/>
      <c r="P47" s="44"/>
      <c r="Q47" s="44"/>
      <c r="R47" s="44"/>
      <c r="S47" s="44"/>
      <c r="T47" s="44"/>
      <c r="U47" s="44"/>
      <c r="V47" s="44"/>
      <c r="W47" s="44"/>
      <c r="X47" s="44"/>
      <c r="Y47" s="44"/>
      <c r="Z47" s="44"/>
      <c r="AA47" s="44"/>
      <c r="AB47" s="44"/>
      <c r="AC47" s="44"/>
      <c r="AD47" s="44"/>
      <c r="AE47" s="44"/>
      <c r="AF47" s="44"/>
      <c r="AG47" s="44"/>
    </row>
    <row r="48" spans="2:36" s="34" customFormat="1" ht="31.5" hidden="1">
      <c r="C48" s="276"/>
      <c r="D48" s="276" t="s">
        <v>531</v>
      </c>
      <c r="E48" s="44"/>
      <c r="F48" s="277" t="s">
        <v>538</v>
      </c>
      <c r="G48" s="277"/>
      <c r="H48" s="44"/>
      <c r="I48" s="44"/>
      <c r="J48" s="44"/>
      <c r="K48" s="43"/>
      <c r="L48" s="43"/>
      <c r="M48" s="44"/>
      <c r="N48" s="44"/>
      <c r="O48" s="252"/>
      <c r="P48" s="44"/>
      <c r="Q48" s="44"/>
      <c r="R48" s="44"/>
      <c r="S48" s="44"/>
      <c r="T48" s="44"/>
      <c r="U48" s="44"/>
      <c r="V48" s="44"/>
      <c r="W48" s="44"/>
      <c r="X48" s="44"/>
      <c r="Y48" s="44"/>
      <c r="Z48" s="44"/>
      <c r="AA48" s="44"/>
      <c r="AB48" s="44"/>
      <c r="AC48" s="44"/>
      <c r="AD48" s="44"/>
      <c r="AE48" s="44"/>
      <c r="AF48" s="44"/>
      <c r="AG48" s="44"/>
    </row>
    <row r="49" spans="3:33" s="34" customFormat="1" ht="15.75" hidden="1">
      <c r="C49" s="175" t="s">
        <v>27</v>
      </c>
      <c r="D49" s="278" t="str">
        <f>F12</f>
        <v/>
      </c>
      <c r="E49" s="44"/>
      <c r="F49" s="281" t="str">
        <f>F12</f>
        <v/>
      </c>
      <c r="G49" s="277"/>
      <c r="H49" s="44"/>
      <c r="I49" s="44"/>
      <c r="J49" s="44"/>
      <c r="K49" s="44"/>
      <c r="L49" s="44"/>
      <c r="M49" s="44"/>
      <c r="N49" s="44"/>
      <c r="O49" s="252"/>
      <c r="P49" s="44"/>
      <c r="Q49" s="44"/>
      <c r="R49" s="44"/>
      <c r="S49" s="44"/>
      <c r="T49" s="44"/>
      <c r="U49" s="44"/>
      <c r="V49" s="44"/>
      <c r="W49" s="44"/>
      <c r="X49" s="44"/>
      <c r="Y49" s="44"/>
      <c r="Z49" s="44"/>
      <c r="AA49" s="44"/>
      <c r="AB49" s="44"/>
      <c r="AC49" s="44"/>
      <c r="AD49" s="44"/>
      <c r="AE49" s="44"/>
      <c r="AF49" s="44"/>
      <c r="AG49" s="44"/>
    </row>
    <row r="50" spans="3:33" s="34" customFormat="1" hidden="1">
      <c r="C50" s="175" t="s">
        <v>47</v>
      </c>
      <c r="D50" s="279">
        <f>IF(F11="",0,IF(D49=0,0,(1000/D49)-10))</f>
        <v>0</v>
      </c>
      <c r="E50" s="44"/>
      <c r="F50" s="252">
        <f>IF(F11="",0,IF(D49=0,0,(1000/D49)-10))</f>
        <v>0</v>
      </c>
      <c r="G50" s="44"/>
      <c r="H50" s="44"/>
      <c r="I50" s="44"/>
      <c r="J50" s="44"/>
      <c r="K50" s="44"/>
      <c r="L50" s="44"/>
      <c r="M50" s="44"/>
      <c r="N50" s="44"/>
      <c r="O50" s="252"/>
      <c r="P50" s="44"/>
      <c r="Q50" s="44"/>
      <c r="R50" s="44"/>
      <c r="S50" s="44"/>
      <c r="T50" s="44"/>
      <c r="U50" s="44"/>
      <c r="V50" s="44"/>
      <c r="W50" s="44"/>
      <c r="X50" s="44"/>
      <c r="Y50" s="44"/>
      <c r="Z50" s="44"/>
      <c r="AA50" s="44"/>
      <c r="AB50" s="44"/>
      <c r="AC50" s="44"/>
      <c r="AD50" s="44"/>
      <c r="AE50" s="44"/>
      <c r="AF50" s="44"/>
      <c r="AG50" s="44"/>
    </row>
    <row r="51" spans="3:33" s="34" customFormat="1" ht="19.5" hidden="1">
      <c r="C51" s="280" t="s">
        <v>1</v>
      </c>
      <c r="D51" s="285" t="e">
        <f>IF(F11="",0,(D16-(0.2*D50))^2)/(D16+(0.8*D50))</f>
        <v>#VALUE!</v>
      </c>
      <c r="E51" s="44"/>
      <c r="F51" s="284">
        <f>0.2*F50*1.01</f>
        <v>0</v>
      </c>
      <c r="G51" s="44" t="s">
        <v>539</v>
      </c>
      <c r="H51" s="44"/>
      <c r="I51" s="44"/>
      <c r="J51" s="44"/>
      <c r="K51" s="44"/>
      <c r="L51" s="44"/>
      <c r="M51" s="44"/>
      <c r="N51" s="44"/>
      <c r="O51" s="252"/>
      <c r="P51" s="44"/>
      <c r="Q51" s="44"/>
      <c r="R51" s="44"/>
      <c r="S51" s="44"/>
      <c r="T51" s="44"/>
      <c r="U51" s="44"/>
      <c r="V51" s="44"/>
      <c r="W51" s="44"/>
      <c r="X51" s="44"/>
      <c r="Y51" s="44"/>
      <c r="Z51" s="44"/>
      <c r="AA51" s="44"/>
      <c r="AB51" s="44"/>
      <c r="AC51" s="44"/>
      <c r="AD51" s="44"/>
      <c r="AE51" s="44"/>
      <c r="AF51" s="44"/>
      <c r="AG51" s="44"/>
    </row>
    <row r="52" spans="3:33" s="34" customFormat="1" ht="19.5" hidden="1">
      <c r="C52" s="280" t="s">
        <v>2</v>
      </c>
      <c r="D52" s="282" t="e">
        <f>(D51/12)*K16*43560</f>
        <v>#VALUE!</v>
      </c>
      <c r="E52" s="44"/>
      <c r="F52" s="252" t="str">
        <f>D16</f>
        <v/>
      </c>
      <c r="G52" s="44" t="s">
        <v>541</v>
      </c>
      <c r="H52" s="44"/>
      <c r="I52" s="44"/>
      <c r="J52" s="44"/>
      <c r="K52" s="44"/>
      <c r="L52" s="44"/>
      <c r="M52" s="44"/>
      <c r="N52" s="44"/>
      <c r="O52" s="252"/>
      <c r="P52" s="44"/>
      <c r="Q52" s="44"/>
      <c r="R52" s="44"/>
      <c r="S52" s="44"/>
      <c r="T52" s="44"/>
      <c r="U52" s="44"/>
      <c r="V52" s="44"/>
      <c r="W52" s="44"/>
      <c r="X52" s="44"/>
      <c r="Y52" s="44"/>
      <c r="Z52" s="44"/>
      <c r="AA52" s="44"/>
      <c r="AB52" s="44"/>
      <c r="AC52" s="44"/>
      <c r="AD52" s="44"/>
      <c r="AE52" s="44"/>
      <c r="AF52" s="44"/>
      <c r="AG52" s="44"/>
    </row>
    <row r="53" spans="3:33" s="34" customFormat="1" ht="15.75" hidden="1">
      <c r="C53" s="175"/>
      <c r="D53" s="43"/>
      <c r="E53" s="44"/>
      <c r="F53" s="6">
        <f>IF(F51&gt;=F52, 0, F51)</f>
        <v>0</v>
      </c>
      <c r="G53" s="44" t="s">
        <v>540</v>
      </c>
      <c r="H53" s="44"/>
      <c r="I53" s="44"/>
      <c r="J53" s="44"/>
      <c r="K53" s="44"/>
      <c r="L53" s="44"/>
      <c r="M53" s="44"/>
      <c r="N53" s="44"/>
      <c r="O53" s="252"/>
      <c r="P53" s="44"/>
      <c r="Q53" s="44"/>
      <c r="R53" s="44"/>
      <c r="S53" s="44"/>
      <c r="T53" s="44"/>
      <c r="U53" s="44"/>
      <c r="V53" s="44"/>
      <c r="W53" s="44"/>
      <c r="X53" s="44"/>
      <c r="Y53" s="44"/>
      <c r="Z53" s="44"/>
      <c r="AA53" s="44"/>
      <c r="AB53" s="44"/>
      <c r="AC53" s="44"/>
      <c r="AD53" s="44"/>
      <c r="AE53" s="44"/>
      <c r="AF53" s="44"/>
      <c r="AG53" s="44"/>
    </row>
    <row r="54" spans="3:33" s="34" customFormat="1" hidden="1">
      <c r="C54" s="175"/>
      <c r="D54" s="44"/>
      <c r="E54" s="44"/>
      <c r="F54" s="6"/>
      <c r="G54" s="44"/>
      <c r="H54" s="44"/>
      <c r="I54" s="44"/>
      <c r="J54" s="44"/>
      <c r="K54" s="44"/>
      <c r="L54" s="44"/>
      <c r="M54" s="44"/>
      <c r="N54" s="44"/>
      <c r="O54" s="252"/>
      <c r="P54" s="44"/>
      <c r="Q54" s="44"/>
      <c r="R54" s="44"/>
      <c r="S54" s="44"/>
      <c r="T54" s="44"/>
      <c r="U54" s="44"/>
      <c r="V54" s="44"/>
      <c r="W54" s="44"/>
      <c r="X54" s="44"/>
      <c r="Y54" s="44"/>
      <c r="Z54" s="44"/>
      <c r="AA54" s="44"/>
      <c r="AB54" s="44"/>
      <c r="AC54" s="44"/>
      <c r="AD54" s="44"/>
      <c r="AE54" s="44"/>
      <c r="AF54" s="44"/>
      <c r="AG54" s="44"/>
    </row>
    <row r="55" spans="3:33" s="34" customFormat="1" hidden="1">
      <c r="C55" s="175"/>
      <c r="D55" s="44"/>
      <c r="E55" s="44"/>
      <c r="F55" s="6"/>
      <c r="G55" s="6"/>
      <c r="H55" s="6"/>
      <c r="I55" s="6"/>
      <c r="J55" s="6"/>
      <c r="K55" s="6"/>
      <c r="L55" s="44"/>
      <c r="M55" s="44"/>
      <c r="N55" s="44"/>
      <c r="O55" s="252"/>
      <c r="P55" s="44"/>
      <c r="Q55" s="44"/>
      <c r="R55" s="44"/>
      <c r="S55" s="44"/>
      <c r="T55" s="44"/>
      <c r="U55" s="44"/>
      <c r="V55" s="44"/>
      <c r="W55" s="44"/>
      <c r="X55" s="44"/>
      <c r="Y55" s="44"/>
      <c r="Z55" s="44"/>
      <c r="AA55" s="44"/>
      <c r="AB55" s="44"/>
      <c r="AC55" s="44"/>
      <c r="AD55" s="44"/>
      <c r="AE55" s="44"/>
      <c r="AF55" s="44"/>
      <c r="AG55" s="44"/>
    </row>
    <row r="56" spans="3:33" s="44" customFormat="1">
      <c r="C56" s="175"/>
      <c r="F56" s="6"/>
      <c r="G56" s="6"/>
      <c r="H56" s="6"/>
      <c r="I56" s="6"/>
      <c r="J56" s="6"/>
      <c r="K56" s="6"/>
      <c r="O56" s="252"/>
    </row>
    <row r="57" spans="3:33" s="44" customFormat="1">
      <c r="C57" s="175"/>
      <c r="F57" s="6"/>
      <c r="G57" s="6"/>
      <c r="H57" s="6"/>
      <c r="I57" s="6"/>
      <c r="J57" s="6"/>
      <c r="K57" s="6"/>
      <c r="L57" s="6"/>
      <c r="M57" s="6"/>
      <c r="O57" s="252"/>
    </row>
    <row r="58" spans="3:33">
      <c r="O58" s="274"/>
      <c r="P58" s="44"/>
      <c r="Q58" s="44"/>
      <c r="R58" s="44"/>
      <c r="S58" s="44"/>
      <c r="T58" s="44"/>
      <c r="U58" s="44"/>
      <c r="V58" s="44"/>
      <c r="W58" s="44"/>
      <c r="X58" s="44"/>
      <c r="Y58" s="44"/>
      <c r="Z58" s="6"/>
      <c r="AA58" s="6"/>
      <c r="AB58" s="6"/>
      <c r="AC58" s="6"/>
      <c r="AD58" s="6"/>
    </row>
    <row r="59" spans="3:33">
      <c r="O59" s="274"/>
      <c r="P59" s="44"/>
      <c r="Q59" s="44"/>
      <c r="R59" s="44"/>
      <c r="S59" s="44"/>
      <c r="T59" s="44"/>
      <c r="U59" s="44"/>
      <c r="V59" s="44"/>
      <c r="W59" s="44"/>
      <c r="X59" s="44"/>
      <c r="Y59" s="44"/>
      <c r="Z59" s="6"/>
      <c r="AA59" s="6"/>
      <c r="AB59" s="6"/>
      <c r="AC59" s="6"/>
      <c r="AD59" s="6"/>
    </row>
    <row r="60" spans="3:33">
      <c r="O60" s="274"/>
      <c r="P60" s="44"/>
      <c r="Q60" s="44"/>
      <c r="R60" s="44"/>
      <c r="S60" s="44"/>
      <c r="T60" s="44"/>
      <c r="U60" s="44"/>
      <c r="V60" s="44"/>
      <c r="W60" s="44"/>
      <c r="X60" s="44"/>
      <c r="Y60" s="44"/>
      <c r="Z60" s="6"/>
      <c r="AA60" s="6"/>
      <c r="AB60" s="6"/>
      <c r="AC60" s="6"/>
      <c r="AD60" s="6"/>
    </row>
    <row r="61" spans="3:33">
      <c r="O61" s="274"/>
      <c r="P61" s="44"/>
      <c r="Q61" s="44"/>
      <c r="R61" s="44"/>
      <c r="S61" s="44"/>
      <c r="T61" s="44"/>
      <c r="U61" s="44"/>
      <c r="V61" s="44"/>
      <c r="W61" s="44"/>
      <c r="X61" s="44"/>
      <c r="Y61" s="44"/>
      <c r="Z61" s="6"/>
      <c r="AA61" s="6"/>
      <c r="AB61" s="6"/>
      <c r="AC61" s="6"/>
      <c r="AD61" s="6"/>
    </row>
    <row r="62" spans="3:33">
      <c r="O62" s="274"/>
      <c r="P62" s="44"/>
      <c r="Q62" s="44"/>
      <c r="R62" s="44"/>
      <c r="S62" s="44"/>
      <c r="T62" s="44"/>
      <c r="U62" s="44"/>
      <c r="V62" s="44"/>
      <c r="W62" s="44"/>
      <c r="X62" s="44"/>
      <c r="Y62" s="44"/>
      <c r="Z62" s="6"/>
      <c r="AA62" s="6"/>
      <c r="AB62" s="6"/>
      <c r="AC62" s="6"/>
      <c r="AD62" s="6"/>
    </row>
    <row r="63" spans="3:33">
      <c r="O63" s="274"/>
      <c r="P63" s="44"/>
      <c r="Q63" s="44"/>
      <c r="R63" s="44"/>
      <c r="S63" s="44"/>
      <c r="T63" s="44"/>
      <c r="U63" s="44"/>
      <c r="V63" s="44"/>
      <c r="W63" s="44"/>
      <c r="X63" s="44"/>
      <c r="Y63" s="44"/>
      <c r="Z63" s="6"/>
      <c r="AA63" s="6"/>
    </row>
    <row r="64" spans="3:33">
      <c r="O64" s="274"/>
      <c r="P64" s="44"/>
      <c r="Q64" s="44"/>
      <c r="R64" s="44"/>
      <c r="S64" s="44"/>
      <c r="T64" s="44"/>
      <c r="U64" s="44"/>
      <c r="V64" s="44"/>
      <c r="W64" s="44"/>
      <c r="X64" s="44"/>
      <c r="Y64" s="44"/>
      <c r="Z64" s="6"/>
      <c r="AA64" s="6"/>
    </row>
    <row r="65" spans="15:27">
      <c r="O65" s="274"/>
      <c r="P65" s="44"/>
      <c r="Q65" s="44"/>
      <c r="R65" s="44"/>
      <c r="S65" s="44"/>
      <c r="T65" s="44"/>
      <c r="U65" s="44"/>
      <c r="V65" s="44"/>
      <c r="W65" s="44"/>
      <c r="X65" s="44"/>
      <c r="Y65" s="44"/>
      <c r="Z65" s="6"/>
      <c r="AA65" s="6"/>
    </row>
    <row r="66" spans="15:27">
      <c r="O66" s="274"/>
      <c r="P66" s="44"/>
      <c r="Q66" s="44"/>
      <c r="R66" s="44"/>
      <c r="S66" s="44"/>
      <c r="T66" s="44"/>
      <c r="U66" s="44"/>
      <c r="V66" s="44"/>
      <c r="W66" s="44"/>
      <c r="X66" s="44"/>
      <c r="Y66" s="44"/>
      <c r="Z66" s="6"/>
      <c r="AA66" s="6"/>
    </row>
    <row r="67" spans="15:27">
      <c r="O67" s="274"/>
      <c r="P67" s="44"/>
      <c r="Q67" s="44"/>
      <c r="R67" s="44"/>
      <c r="S67" s="44"/>
      <c r="T67" s="44"/>
      <c r="U67" s="44"/>
      <c r="V67" s="44"/>
      <c r="W67" s="44"/>
      <c r="X67" s="44"/>
      <c r="Y67" s="44"/>
      <c r="Z67" s="6"/>
      <c r="AA67" s="6"/>
    </row>
    <row r="68" spans="15:27">
      <c r="O68" s="274"/>
      <c r="P68" s="44"/>
      <c r="Q68" s="44"/>
      <c r="R68" s="44"/>
      <c r="S68" s="44"/>
      <c r="T68" s="44"/>
      <c r="U68" s="44"/>
      <c r="V68" s="44"/>
      <c r="W68" s="44"/>
      <c r="X68" s="44"/>
      <c r="Y68" s="44"/>
      <c r="Z68" s="6"/>
      <c r="AA68" s="6"/>
    </row>
    <row r="69" spans="15:27">
      <c r="O69" s="274"/>
      <c r="P69" s="44"/>
      <c r="Q69" s="44"/>
      <c r="R69" s="44"/>
      <c r="S69" s="44"/>
      <c r="T69" s="44"/>
      <c r="U69" s="44"/>
      <c r="V69" s="44"/>
      <c r="W69" s="44"/>
      <c r="X69" s="44"/>
      <c r="Y69" s="44"/>
      <c r="Z69" s="6"/>
      <c r="AA69" s="6"/>
    </row>
    <row r="70" spans="15:27">
      <c r="O70" s="274"/>
      <c r="P70" s="44"/>
      <c r="Q70" s="44"/>
      <c r="R70" s="44"/>
      <c r="S70" s="44"/>
      <c r="T70" s="44"/>
      <c r="U70" s="44"/>
      <c r="V70" s="44"/>
      <c r="W70" s="44"/>
      <c r="X70" s="44"/>
      <c r="Y70" s="44"/>
      <c r="Z70" s="6"/>
      <c r="AA70" s="6"/>
    </row>
    <row r="71" spans="15:27">
      <c r="O71" s="274"/>
      <c r="P71" s="44"/>
      <c r="Q71" s="44"/>
      <c r="R71" s="44"/>
      <c r="S71" s="44"/>
      <c r="T71" s="44"/>
      <c r="U71" s="44"/>
      <c r="V71" s="44"/>
      <c r="W71" s="44"/>
      <c r="X71" s="44"/>
      <c r="Y71" s="44"/>
      <c r="Z71" s="6"/>
      <c r="AA71" s="6"/>
    </row>
    <row r="72" spans="15:27">
      <c r="O72" s="274"/>
      <c r="P72" s="44"/>
      <c r="Q72" s="44"/>
      <c r="R72" s="44"/>
      <c r="S72" s="44"/>
      <c r="T72" s="44"/>
      <c r="U72" s="44"/>
      <c r="V72" s="44"/>
      <c r="W72" s="44"/>
      <c r="X72" s="44"/>
      <c r="Y72" s="44"/>
      <c r="Z72" s="6"/>
      <c r="AA72" s="6"/>
    </row>
    <row r="73" spans="15:27">
      <c r="O73" s="274"/>
      <c r="P73" s="44"/>
      <c r="Q73" s="44"/>
      <c r="R73" s="44"/>
      <c r="S73" s="44"/>
      <c r="T73" s="44"/>
      <c r="U73" s="44"/>
      <c r="V73" s="44"/>
      <c r="W73" s="44"/>
      <c r="X73" s="44"/>
      <c r="Y73" s="44"/>
      <c r="Z73" s="6"/>
      <c r="AA73" s="6"/>
    </row>
    <row r="74" spans="15:27">
      <c r="O74" s="274"/>
      <c r="P74" s="44"/>
      <c r="Q74" s="44"/>
      <c r="R74" s="44"/>
      <c r="S74" s="44"/>
      <c r="T74" s="44"/>
      <c r="U74" s="44"/>
      <c r="V74" s="44"/>
      <c r="W74" s="44"/>
      <c r="X74" s="44"/>
      <c r="Y74" s="44"/>
      <c r="Z74" s="6"/>
      <c r="AA74" s="6"/>
    </row>
  </sheetData>
  <sheetProtection formatRows="0"/>
  <protectedRanges>
    <protectedRange sqref="L15" name="Range5"/>
    <protectedRange sqref="B16:B18" name="Range4"/>
    <protectedRange sqref="B13" name="Range3"/>
    <protectedRange sqref="B11" name="Range2"/>
    <protectedRange sqref="B1 D1:D6 B2:C6" name="Range1"/>
    <protectedRange sqref="M16" name="Range5_1"/>
  </protectedRanges>
  <mergeCells count="79">
    <mergeCell ref="H19:I19"/>
    <mergeCell ref="H18:I18"/>
    <mergeCell ref="H17:I17"/>
    <mergeCell ref="H23:J23"/>
    <mergeCell ref="H25:J25"/>
    <mergeCell ref="H24:J24"/>
    <mergeCell ref="H15:J15"/>
    <mergeCell ref="H8:M8"/>
    <mergeCell ref="C11:E11"/>
    <mergeCell ref="H9:J9"/>
    <mergeCell ref="D9:F9"/>
    <mergeCell ref="D8:F8"/>
    <mergeCell ref="K15:M15"/>
    <mergeCell ref="H12:I12"/>
    <mergeCell ref="C12:E12"/>
    <mergeCell ref="H11:I11"/>
    <mergeCell ref="D14:E14"/>
    <mergeCell ref="D6:F6"/>
    <mergeCell ref="C37:C38"/>
    <mergeCell ref="D37:E38"/>
    <mergeCell ref="F37:F38"/>
    <mergeCell ref="C32:F36"/>
    <mergeCell ref="C29:C31"/>
    <mergeCell ref="D29:E31"/>
    <mergeCell ref="C13:F13"/>
    <mergeCell ref="D26:E26"/>
    <mergeCell ref="D15:E15"/>
    <mergeCell ref="D7:F7"/>
    <mergeCell ref="C10:F10"/>
    <mergeCell ref="D25:E25"/>
    <mergeCell ref="D16:E16"/>
    <mergeCell ref="H36:I36"/>
    <mergeCell ref="B1:N1"/>
    <mergeCell ref="H13:M13"/>
    <mergeCell ref="K10:M10"/>
    <mergeCell ref="K11:M11"/>
    <mergeCell ref="K12:M12"/>
    <mergeCell ref="H7:M7"/>
    <mergeCell ref="C3:C4"/>
    <mergeCell ref="C5:D5"/>
    <mergeCell ref="H3:M3"/>
    <mergeCell ref="H26:J26"/>
    <mergeCell ref="K27:M27"/>
    <mergeCell ref="H27:J27"/>
    <mergeCell ref="K25:M25"/>
    <mergeCell ref="K18:M18"/>
    <mergeCell ref="K19:M19"/>
    <mergeCell ref="K22:M22"/>
    <mergeCell ref="H22:J22"/>
    <mergeCell ref="K23:M23"/>
    <mergeCell ref="J37:M37"/>
    <mergeCell ref="F29:F31"/>
    <mergeCell ref="J36:M36"/>
    <mergeCell ref="H34:I34"/>
    <mergeCell ref="K35:M35"/>
    <mergeCell ref="H31:I31"/>
    <mergeCell ref="H35:I35"/>
    <mergeCell ref="H37:I37"/>
    <mergeCell ref="J31:M31"/>
    <mergeCell ref="H33:M33"/>
    <mergeCell ref="J34:M34"/>
    <mergeCell ref="H30:J30"/>
    <mergeCell ref="H29:J29"/>
    <mergeCell ref="H28:J28"/>
    <mergeCell ref="K28:M28"/>
    <mergeCell ref="K29:M29"/>
    <mergeCell ref="K30:M30"/>
    <mergeCell ref="H4:M4"/>
    <mergeCell ref="J6:M6"/>
    <mergeCell ref="G5:M5"/>
    <mergeCell ref="K16:M16"/>
    <mergeCell ref="H16:I16"/>
    <mergeCell ref="H10:I10"/>
    <mergeCell ref="H6:I6"/>
    <mergeCell ref="K26:M26"/>
    <mergeCell ref="K20:M20"/>
    <mergeCell ref="H20:I20"/>
    <mergeCell ref="K24:M24"/>
    <mergeCell ref="K17:M17"/>
  </mergeCells>
  <phoneticPr fontId="0" type="noConversion"/>
  <conditionalFormatting sqref="C32:F36">
    <cfRule type="expression" dxfId="1" priority="1" stopIfTrue="1">
      <formula>$D$40=""</formula>
    </cfRule>
    <cfRule type="expression" dxfId="0" priority="2" stopIfTrue="1">
      <formula>$D$40=0</formula>
    </cfRule>
  </conditionalFormatting>
  <dataValidations xWindow="855" yWindow="589" count="12">
    <dataValidation type="list" showInputMessage="1" showErrorMessage="1" sqref="H4">
      <formula1>OFFSET(COUNTY,MATCH($H$3,CountyColumn,0)-2,1,COUNTIF(CountyColumn,$H$3),1)</formula1>
    </dataValidation>
    <dataValidation type="list" allowBlank="1" showInputMessage="1" showErrorMessage="1" promptTitle="County Selection" prompt="Click on the arrows in the lower right corner of this cell for a list of all California counties. " sqref="H3:M3">
      <formula1>CountyRainList</formula1>
    </dataValidation>
    <dataValidation allowBlank="1" showInputMessage="1" showErrorMessage="1" promptTitle="County Selection" prompt="Click on the arrows in the lower right corner of this cell for a list of all California counties. " sqref="F3"/>
    <dataValidation showInputMessage="1" showErrorMessage="1" sqref="F4"/>
    <dataValidation type="list" allowBlank="1" showInputMessage="1" showErrorMessage="1" promptTitle="Soil Type" prompt="Using the drop-down arrows in the lower right corner, select from the list of possible soil types A, B, C, or D. If you are unsure a summary explanation of each soil type will appear in the green box to the right._x000a_" sqref="H6">
      <formula1>Soils</formula1>
    </dataValidation>
    <dataValidation allowBlank="1" showInputMessage="1" showErrorMessage="1" promptTitle="Total Project Area" prompt="If you do not know the exact acreage for the site you can enter the approximate number of sqare feet in this box and the number of acres will be calculated in the box to the right._x000a__x000a_" sqref="H11:I11"/>
    <dataValidation allowBlank="1" showErrorMessage="1" promptTitle="Impervious Area Reduction " prompt="Click on any of these links under &quot;Impervious Area Reduction Crdits&quot; to go to a calculator to determine eligibility and value of the credit._x000a_" sqref="G24 G26:G29"/>
    <dataValidation allowBlank="1" showInputMessage="1" showErrorMessage="1" promptTitle="Impervious Area Reduction" prompt="Click on any of these links under &quot;Impervious Area Reduction Credits&quot; to go to a calculator to determine eligibility and value of the credit. Credit is given for increasing the  &quot;Lot Coverage&quot;  that is pervious, promotes infiltration, or collection. _x000a_" sqref="G22"/>
    <dataValidation allowBlank="1" showErrorMessage="1" promptTitle="Impervious Area Reduction " prompt="Click on any of these links under &quot;Impervious Area Reduction Crdits&quot; to go to a calculator to determine eligibility and value of the credit. Credit is given to the area of Lot Coverage in Step 7 that is place in some form of infiltration or collection. _x000a_" sqref="G25"/>
    <dataValidation allowBlank="1" showErrorMessage="1" prompt="_x000a_" sqref="G23"/>
    <dataValidation type="list" allowBlank="1" showInputMessage="1" showErrorMessage="1" promptTitle="Existing Land Use Type" prompt="Using the drop-down arrows in the lower right-hand corner select from the 13 land use type that most closely describes the current condition." sqref="H7">
      <formula1>LandU2</formula1>
    </dataValidation>
    <dataValidation type="list" allowBlank="1" showInputMessage="1" showErrorMessage="1" promptTitle="Proposed Land Use Type" prompt="Using the drop-down arrows in the lower right-hand corner select from the 13-land use types that most closely describes the proposed development._x000a_" sqref="H8">
      <formula1>LandU2a</formula1>
    </dataValidation>
  </dataValidations>
  <hyperlinks>
    <hyperlink ref="G25" location="'Downspout Disconnection'!A1" display="Downspout Disconnection"/>
    <hyperlink ref="G26" location="'Impervious Area Disconnection'!A1" display="Impervious Area Disconnection"/>
    <hyperlink ref="G29" location="'Vegetated Swale'!A1" display="Vegetated Swales"/>
    <hyperlink ref="G28" location="'Stream Buffer'!A1" display="Stream Buffer"/>
    <hyperlink ref="C17" r:id="rId1"/>
    <hyperlink ref="G35" location="'Soil Quality'!A1" display="Soil Quality"/>
    <hyperlink ref="G27" location="GreenRoofs!A1" display="Green Roof"/>
    <hyperlink ref="G23" location="'Porous Pavement'!A1" display="Porous Pavement"/>
    <hyperlink ref="G24" location="'Tree Planting'!A1" display="Tree Planting"/>
    <hyperlink ref="G34" location="'Rain Barrels &amp; Cisterns'!A1" display="Rain Barrels/Cisterns"/>
  </hyperlinks>
  <printOptions headings="1" gridLines="1"/>
  <pageMargins left="0.75" right="0.75" top="1" bottom="1" header="0.5" footer="0.5"/>
  <pageSetup scale="34"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5"/>
  </sheetPr>
  <dimension ref="A1:X86"/>
  <sheetViews>
    <sheetView topLeftCell="A4" zoomScale="125" zoomScaleNormal="72" workbookViewId="0">
      <selection activeCell="A10" sqref="A10"/>
    </sheetView>
  </sheetViews>
  <sheetFormatPr defaultColWidth="8.85546875" defaultRowHeight="12.75"/>
  <cols>
    <col min="1" max="1" width="84.7109375" style="63" customWidth="1"/>
    <col min="2" max="2" width="8.42578125" style="63" hidden="1" customWidth="1"/>
    <col min="3" max="3" width="1.5703125" style="63" hidden="1" customWidth="1"/>
    <col min="4" max="4" width="10.140625" style="63" hidden="1" customWidth="1"/>
    <col min="5" max="5" width="21.28515625" style="63" hidden="1" customWidth="1"/>
    <col min="6" max="6" width="12.28515625" style="63" customWidth="1"/>
    <col min="7" max="7" width="20.85546875" style="257" customWidth="1"/>
    <col min="8" max="8" width="18" style="232" customWidth="1"/>
    <col min="9" max="9" width="9.140625" style="231" hidden="1" customWidth="1"/>
    <col min="10" max="10" width="13.7109375" style="232" hidden="1" customWidth="1"/>
    <col min="11" max="13" width="1.140625" style="232" hidden="1" customWidth="1"/>
    <col min="14" max="16" width="2.7109375" style="232" hidden="1" customWidth="1"/>
    <col min="17" max="17" width="2.7109375" style="232" customWidth="1"/>
    <col min="18" max="24" width="2.7109375" style="167" customWidth="1"/>
    <col min="25" max="30" width="2.7109375" style="14" customWidth="1"/>
    <col min="31" max="16384" width="8.85546875" style="14"/>
  </cols>
  <sheetData>
    <row r="1" spans="1:17" ht="15.75">
      <c r="A1" s="43" t="s">
        <v>134</v>
      </c>
      <c r="B1" s="44"/>
      <c r="C1" s="44"/>
      <c r="D1" s="44"/>
      <c r="E1" s="44"/>
      <c r="F1" s="44"/>
      <c r="G1" s="252"/>
      <c r="H1" s="167"/>
      <c r="I1" s="230"/>
      <c r="J1" s="167"/>
      <c r="K1" s="167"/>
      <c r="L1" s="167"/>
      <c r="M1" s="167"/>
      <c r="N1" s="167"/>
      <c r="O1" s="167"/>
      <c r="P1" s="167"/>
      <c r="Q1" s="167"/>
    </row>
    <row r="2" spans="1:17" ht="17.25" customHeight="1">
      <c r="A2" s="45" t="s">
        <v>46</v>
      </c>
      <c r="B2" s="45"/>
      <c r="C2" s="45"/>
      <c r="D2" s="45"/>
      <c r="E2" s="45"/>
      <c r="F2" s="45"/>
      <c r="G2" s="253"/>
      <c r="H2" s="167"/>
      <c r="I2" s="230"/>
      <c r="J2" s="167"/>
      <c r="K2" s="167"/>
      <c r="L2" s="167"/>
      <c r="M2" s="167"/>
      <c r="N2" s="167"/>
      <c r="O2" s="167"/>
      <c r="P2" s="167"/>
      <c r="Q2" s="167"/>
    </row>
    <row r="3" spans="1:17" ht="15">
      <c r="A3" s="46" t="s">
        <v>149</v>
      </c>
      <c r="B3" s="44"/>
      <c r="C3" s="44"/>
      <c r="D3" s="44"/>
      <c r="E3" s="44"/>
      <c r="F3" s="44"/>
      <c r="G3" s="252"/>
      <c r="H3" s="167"/>
      <c r="I3" s="230"/>
      <c r="J3" s="167"/>
      <c r="K3" s="167"/>
      <c r="L3" s="167"/>
      <c r="M3" s="167"/>
      <c r="N3" s="167"/>
      <c r="O3" s="167"/>
      <c r="P3" s="167"/>
      <c r="Q3" s="167"/>
    </row>
    <row r="4" spans="1:17" ht="15">
      <c r="A4" s="47"/>
      <c r="B4" s="48"/>
      <c r="C4" s="48"/>
      <c r="D4" s="48"/>
      <c r="E4" s="48"/>
      <c r="F4" s="452" t="s">
        <v>95</v>
      </c>
      <c r="G4" s="452"/>
      <c r="H4" s="167"/>
      <c r="I4" s="230"/>
      <c r="J4" s="167"/>
      <c r="K4" s="167"/>
      <c r="L4" s="167"/>
      <c r="M4" s="167"/>
      <c r="N4" s="167"/>
      <c r="O4" s="167"/>
      <c r="P4" s="167"/>
      <c r="Q4" s="167"/>
    </row>
    <row r="5" spans="1:17" ht="15.75">
      <c r="A5" s="49" t="s">
        <v>91</v>
      </c>
      <c r="B5" s="50"/>
      <c r="C5" s="50"/>
      <c r="D5" s="50"/>
      <c r="E5" s="50" t="s">
        <v>150</v>
      </c>
      <c r="F5" s="51" t="s">
        <v>94</v>
      </c>
      <c r="G5" s="254" t="s">
        <v>28</v>
      </c>
      <c r="H5" s="8" t="s">
        <v>65</v>
      </c>
    </row>
    <row r="6" spans="1:17" ht="30.75">
      <c r="A6" s="52" t="s">
        <v>63</v>
      </c>
      <c r="B6" s="53"/>
      <c r="C6" s="53"/>
      <c r="D6" s="53"/>
      <c r="E6" s="54">
        <v>0.45</v>
      </c>
      <c r="F6" s="325"/>
      <c r="G6" s="324"/>
      <c r="H6" s="19">
        <f>IF(F6="",G6,F6/43560)*E6</f>
        <v>0</v>
      </c>
      <c r="I6" s="231">
        <f>IF(F6="",G6,(F6/43560))</f>
        <v>0</v>
      </c>
    </row>
    <row r="7" spans="1:17" ht="30.75">
      <c r="A7" s="52" t="s">
        <v>64</v>
      </c>
      <c r="B7" s="53"/>
      <c r="C7" s="53"/>
      <c r="D7" s="53"/>
      <c r="E7" s="54">
        <v>0.9</v>
      </c>
      <c r="F7" s="325"/>
      <c r="G7" s="324"/>
      <c r="H7" s="19">
        <f t="shared" ref="H7:H17" si="0">IF(F7="",G7,F7/43560)*E7</f>
        <v>0</v>
      </c>
      <c r="I7" s="231">
        <f t="shared" ref="I7:I17" si="1">IF(F7="",G7,(F7/43560))</f>
        <v>0</v>
      </c>
    </row>
    <row r="8" spans="1:17" ht="15.75">
      <c r="A8" s="53" t="s">
        <v>183</v>
      </c>
      <c r="B8" s="53"/>
      <c r="C8" s="53"/>
      <c r="D8" s="53"/>
      <c r="E8" s="54">
        <v>0.3</v>
      </c>
      <c r="F8" s="325"/>
      <c r="G8" s="324"/>
      <c r="H8" s="19">
        <f t="shared" si="0"/>
        <v>0</v>
      </c>
      <c r="I8" s="231">
        <f t="shared" si="1"/>
        <v>0</v>
      </c>
    </row>
    <row r="9" spans="1:17" ht="15.75">
      <c r="A9" s="53" t="s">
        <v>542</v>
      </c>
      <c r="B9" s="53"/>
      <c r="C9" s="53"/>
      <c r="D9" s="53"/>
      <c r="E9" s="54">
        <v>0.6</v>
      </c>
      <c r="F9" s="325"/>
      <c r="G9" s="324"/>
      <c r="H9" s="19">
        <f t="shared" si="0"/>
        <v>0</v>
      </c>
      <c r="I9" s="231">
        <f t="shared" si="1"/>
        <v>0</v>
      </c>
    </row>
    <row r="10" spans="1:17" ht="33.75" customHeight="1">
      <c r="A10" s="52" t="s">
        <v>152</v>
      </c>
      <c r="B10" s="53"/>
      <c r="C10" s="53"/>
      <c r="D10" s="53"/>
      <c r="E10" s="54">
        <v>0.45</v>
      </c>
      <c r="F10" s="325"/>
      <c r="G10" s="324"/>
      <c r="H10" s="19">
        <f t="shared" si="0"/>
        <v>0</v>
      </c>
      <c r="I10" s="231">
        <f t="shared" si="1"/>
        <v>0</v>
      </c>
    </row>
    <row r="11" spans="1:17" ht="33.75" customHeight="1">
      <c r="A11" s="52" t="s">
        <v>336</v>
      </c>
      <c r="B11" s="56"/>
      <c r="C11" s="56">
        <v>0.9</v>
      </c>
      <c r="D11" s="55"/>
      <c r="E11" s="54">
        <v>0.9</v>
      </c>
      <c r="F11" s="325"/>
      <c r="G11" s="324"/>
      <c r="H11" s="19">
        <f t="shared" si="0"/>
        <v>0</v>
      </c>
      <c r="I11" s="231">
        <f t="shared" si="1"/>
        <v>0</v>
      </c>
    </row>
    <row r="12" spans="1:17" ht="30.75">
      <c r="A12" s="57" t="s">
        <v>180</v>
      </c>
      <c r="B12" s="53"/>
      <c r="C12" s="53"/>
      <c r="D12" s="53"/>
      <c r="E12" s="54">
        <f>SUM(0.75/2)</f>
        <v>0.38</v>
      </c>
      <c r="F12" s="325"/>
      <c r="G12" s="324"/>
      <c r="H12" s="19">
        <f t="shared" si="0"/>
        <v>0</v>
      </c>
      <c r="I12" s="231">
        <f t="shared" si="1"/>
        <v>0</v>
      </c>
    </row>
    <row r="13" spans="1:17" ht="30.75">
      <c r="A13" s="58" t="s">
        <v>181</v>
      </c>
      <c r="B13" s="59"/>
      <c r="C13" s="59"/>
      <c r="D13" s="59"/>
      <c r="E13" s="60">
        <v>0.75</v>
      </c>
      <c r="F13" s="325"/>
      <c r="G13" s="324"/>
      <c r="H13" s="19">
        <f t="shared" si="0"/>
        <v>0</v>
      </c>
      <c r="I13" s="231">
        <f t="shared" si="1"/>
        <v>0</v>
      </c>
    </row>
    <row r="14" spans="1:17" ht="33.75" customHeight="1">
      <c r="A14" s="52" t="s">
        <v>201</v>
      </c>
      <c r="B14" s="53"/>
      <c r="C14" s="53"/>
      <c r="D14" s="53"/>
      <c r="E14" s="54">
        <v>0.4</v>
      </c>
      <c r="F14" s="325"/>
      <c r="G14" s="324"/>
      <c r="H14" s="19">
        <f t="shared" si="0"/>
        <v>0</v>
      </c>
      <c r="I14" s="231">
        <f t="shared" si="1"/>
        <v>0</v>
      </c>
    </row>
    <row r="15" spans="1:17" ht="33.75" customHeight="1">
      <c r="A15" s="52" t="s">
        <v>146</v>
      </c>
      <c r="B15" s="53"/>
      <c r="C15" s="53"/>
      <c r="D15" s="53"/>
      <c r="E15" s="54">
        <v>0.6</v>
      </c>
      <c r="F15" s="325"/>
      <c r="G15" s="324"/>
      <c r="H15" s="19">
        <f t="shared" si="0"/>
        <v>0</v>
      </c>
      <c r="I15" s="231">
        <f t="shared" si="1"/>
        <v>0</v>
      </c>
    </row>
    <row r="16" spans="1:17" ht="33.75" customHeight="1">
      <c r="A16" s="52" t="s">
        <v>147</v>
      </c>
      <c r="B16" s="53"/>
      <c r="C16" s="53"/>
      <c r="D16" s="53"/>
      <c r="E16" s="54">
        <v>0.8</v>
      </c>
      <c r="F16" s="325"/>
      <c r="G16" s="324"/>
      <c r="H16" s="19">
        <f>IF(F16="",G16,F16/43560)*E16</f>
        <v>0</v>
      </c>
      <c r="I16" s="231">
        <f t="shared" si="1"/>
        <v>0</v>
      </c>
      <c r="J16" s="231">
        <f>SUM(H6:H17)</f>
        <v>0</v>
      </c>
      <c r="K16" s="231"/>
    </row>
    <row r="17" spans="1:11" ht="33.75" customHeight="1">
      <c r="A17" s="52" t="s">
        <v>148</v>
      </c>
      <c r="B17" s="53"/>
      <c r="C17" s="53"/>
      <c r="D17" s="53"/>
      <c r="E17" s="54">
        <v>1</v>
      </c>
      <c r="F17" s="325"/>
      <c r="G17" s="324"/>
      <c r="H17" s="19">
        <f t="shared" si="0"/>
        <v>0</v>
      </c>
      <c r="I17" s="231">
        <f t="shared" si="1"/>
        <v>0</v>
      </c>
      <c r="K17" s="233"/>
    </row>
    <row r="18" spans="1:11" ht="15">
      <c r="A18" s="326" t="s">
        <v>532</v>
      </c>
      <c r="B18" s="61"/>
      <c r="C18" s="61"/>
      <c r="D18" s="61"/>
      <c r="E18" s="61"/>
      <c r="F18" s="61"/>
      <c r="G18" s="327">
        <f>SUM(G6:G17)</f>
        <v>0</v>
      </c>
      <c r="H18" s="328">
        <f>SUM(H6:H17)</f>
        <v>0</v>
      </c>
      <c r="I18" s="231">
        <f>SUM(I6:I17)</f>
        <v>0</v>
      </c>
    </row>
    <row r="19" spans="1:11">
      <c r="A19" s="62"/>
      <c r="B19" s="62"/>
      <c r="C19" s="62"/>
      <c r="D19" s="62"/>
      <c r="E19" s="62" t="s">
        <v>151</v>
      </c>
      <c r="F19" s="62"/>
      <c r="G19" s="256" t="s">
        <v>53</v>
      </c>
    </row>
    <row r="20" spans="1:11">
      <c r="E20" s="63" t="s">
        <v>99</v>
      </c>
    </row>
    <row r="21" spans="1:11">
      <c r="E21" s="63" t="s">
        <v>338</v>
      </c>
    </row>
    <row r="23" spans="1:11">
      <c r="G23" s="258"/>
    </row>
    <row r="53" spans="1:10" ht="36.950000000000003" customHeight="1"/>
    <row r="54" spans="1:10" ht="41.1" customHeight="1"/>
    <row r="55" spans="1:10" ht="36" customHeight="1">
      <c r="J55" s="232">
        <f>SUM('Tree Planting'!G6:G9)</f>
        <v>0</v>
      </c>
    </row>
    <row r="57" spans="1:10" ht="75" customHeight="1"/>
    <row r="58" spans="1:10" ht="15">
      <c r="A58" s="67"/>
      <c r="B58" s="67"/>
      <c r="C58" s="67"/>
      <c r="D58" s="67"/>
      <c r="E58" s="67"/>
      <c r="F58" s="67"/>
      <c r="G58" s="262"/>
    </row>
    <row r="59" spans="1:10" ht="15">
      <c r="A59" s="67"/>
      <c r="B59" s="67"/>
      <c r="C59" s="67"/>
      <c r="D59" s="67"/>
      <c r="E59" s="67"/>
      <c r="F59" s="67"/>
      <c r="G59" s="262"/>
    </row>
    <row r="60" spans="1:10" ht="15">
      <c r="A60" s="67"/>
      <c r="B60" s="67"/>
      <c r="C60" s="67"/>
      <c r="D60" s="67"/>
      <c r="E60" s="67"/>
      <c r="F60" s="67"/>
      <c r="G60" s="262"/>
    </row>
    <row r="61" spans="1:10" ht="15">
      <c r="A61" s="67"/>
      <c r="B61" s="67"/>
      <c r="C61" s="67"/>
      <c r="D61" s="67"/>
      <c r="E61" s="67"/>
      <c r="F61" s="67"/>
      <c r="G61" s="262"/>
    </row>
    <row r="62" spans="1:10" ht="15">
      <c r="A62" s="67"/>
      <c r="B62" s="67"/>
      <c r="C62" s="67"/>
      <c r="D62" s="67"/>
      <c r="E62" s="67"/>
      <c r="F62" s="67"/>
      <c r="G62" s="262"/>
    </row>
    <row r="63" spans="1:10" ht="15">
      <c r="A63" s="67"/>
      <c r="B63" s="67"/>
      <c r="C63" s="67"/>
      <c r="D63" s="67"/>
      <c r="E63" s="67"/>
      <c r="F63" s="67"/>
      <c r="G63" s="262"/>
    </row>
    <row r="64" spans="1:10" ht="15">
      <c r="A64" s="67"/>
      <c r="B64" s="67"/>
      <c r="C64" s="67"/>
      <c r="D64" s="67"/>
      <c r="E64" s="67"/>
      <c r="F64" s="67"/>
      <c r="G64" s="262"/>
    </row>
    <row r="65" spans="1:7" ht="15">
      <c r="A65" s="67"/>
      <c r="B65" s="67"/>
      <c r="C65" s="67"/>
      <c r="D65" s="67"/>
      <c r="E65" s="67"/>
      <c r="F65" s="67"/>
      <c r="G65" s="262"/>
    </row>
    <row r="66" spans="1:7" ht="15">
      <c r="A66" s="67"/>
      <c r="B66" s="67"/>
      <c r="C66" s="67"/>
      <c r="D66" s="67"/>
      <c r="E66" s="67"/>
      <c r="F66" s="67"/>
      <c r="G66" s="262"/>
    </row>
    <row r="67" spans="1:7" ht="15">
      <c r="A67" s="67"/>
      <c r="B67" s="67"/>
      <c r="C67" s="67"/>
      <c r="D67" s="67"/>
      <c r="E67" s="67"/>
      <c r="F67" s="67"/>
      <c r="G67" s="262"/>
    </row>
    <row r="68" spans="1:7" ht="15">
      <c r="A68" s="67"/>
      <c r="B68" s="67"/>
      <c r="C68" s="67"/>
      <c r="D68" s="67"/>
      <c r="E68" s="67"/>
      <c r="F68" s="67"/>
      <c r="G68" s="262"/>
    </row>
    <row r="69" spans="1:7" ht="15">
      <c r="A69" s="67"/>
      <c r="B69" s="67"/>
      <c r="C69" s="67"/>
      <c r="D69" s="67"/>
      <c r="E69" s="67"/>
      <c r="F69" s="67"/>
      <c r="G69" s="262"/>
    </row>
    <row r="70" spans="1:7" ht="15">
      <c r="A70" s="67"/>
      <c r="B70" s="67"/>
      <c r="C70" s="67"/>
      <c r="D70" s="67"/>
      <c r="E70" s="67"/>
      <c r="F70" s="67"/>
      <c r="G70" s="262"/>
    </row>
    <row r="71" spans="1:7" ht="15">
      <c r="A71" s="67"/>
      <c r="B71" s="67"/>
      <c r="C71" s="67"/>
      <c r="D71" s="67"/>
      <c r="E71" s="67"/>
      <c r="F71" s="67"/>
      <c r="G71" s="262"/>
    </row>
    <row r="72" spans="1:7" ht="15">
      <c r="A72" s="67"/>
      <c r="B72" s="67"/>
      <c r="C72" s="67"/>
      <c r="D72" s="67"/>
      <c r="E72" s="67"/>
      <c r="F72" s="67"/>
      <c r="G72" s="262"/>
    </row>
    <row r="73" spans="1:7" ht="15">
      <c r="A73" s="67"/>
      <c r="B73" s="67"/>
      <c r="C73" s="67"/>
      <c r="D73" s="67"/>
      <c r="E73" s="67"/>
      <c r="F73" s="67"/>
      <c r="G73" s="262"/>
    </row>
    <row r="74" spans="1:7" ht="15">
      <c r="A74" s="67"/>
      <c r="B74" s="67"/>
      <c r="C74" s="67"/>
      <c r="D74" s="67"/>
      <c r="E74" s="67"/>
      <c r="F74" s="67"/>
      <c r="G74" s="262"/>
    </row>
    <row r="75" spans="1:7" ht="15">
      <c r="A75" s="67"/>
      <c r="B75" s="67"/>
      <c r="C75" s="67"/>
      <c r="D75" s="67"/>
      <c r="E75" s="67"/>
      <c r="F75" s="67"/>
      <c r="G75" s="262"/>
    </row>
    <row r="76" spans="1:7" ht="15">
      <c r="A76" s="67"/>
      <c r="B76" s="67"/>
      <c r="C76" s="67"/>
      <c r="D76" s="67"/>
      <c r="E76" s="67"/>
      <c r="F76" s="67"/>
      <c r="G76" s="262"/>
    </row>
    <row r="77" spans="1:7" ht="15">
      <c r="A77" s="67"/>
      <c r="B77" s="67"/>
      <c r="C77" s="67"/>
      <c r="D77" s="67"/>
      <c r="E77" s="67"/>
      <c r="F77" s="67"/>
      <c r="G77" s="262"/>
    </row>
    <row r="78" spans="1:7" ht="15">
      <c r="A78" s="67"/>
      <c r="B78" s="67"/>
      <c r="C78" s="67"/>
      <c r="D78" s="67"/>
      <c r="E78" s="67"/>
      <c r="F78" s="67"/>
      <c r="G78" s="262"/>
    </row>
    <row r="79" spans="1:7" ht="15">
      <c r="A79" s="67"/>
      <c r="B79" s="67"/>
      <c r="C79" s="67"/>
      <c r="D79" s="67"/>
      <c r="E79" s="67"/>
      <c r="F79" s="67"/>
      <c r="G79" s="262"/>
    </row>
    <row r="80" spans="1:7" ht="15">
      <c r="A80" s="67"/>
      <c r="B80" s="67"/>
      <c r="C80" s="67"/>
      <c r="D80" s="67"/>
      <c r="E80" s="67"/>
      <c r="F80" s="67"/>
      <c r="G80" s="262"/>
    </row>
    <row r="81" spans="1:7" ht="15">
      <c r="A81" s="67"/>
      <c r="B81" s="67"/>
      <c r="C81" s="67"/>
      <c r="D81" s="67"/>
      <c r="E81" s="67"/>
      <c r="F81" s="67"/>
      <c r="G81" s="262"/>
    </row>
    <row r="82" spans="1:7" ht="15">
      <c r="A82" s="67"/>
      <c r="B82" s="67"/>
      <c r="C82" s="67"/>
      <c r="D82" s="67"/>
      <c r="E82" s="67"/>
      <c r="F82" s="67"/>
      <c r="G82" s="262"/>
    </row>
    <row r="83" spans="1:7" ht="15">
      <c r="A83" s="67"/>
      <c r="B83" s="67"/>
      <c r="C83" s="67"/>
      <c r="D83" s="67"/>
      <c r="E83" s="67"/>
      <c r="F83" s="67"/>
      <c r="G83" s="262"/>
    </row>
    <row r="84" spans="1:7" ht="15">
      <c r="A84" s="67"/>
      <c r="B84" s="67"/>
      <c r="C84" s="67"/>
      <c r="D84" s="67"/>
      <c r="E84" s="67"/>
      <c r="F84" s="67"/>
      <c r="G84" s="262"/>
    </row>
    <row r="85" spans="1:7" ht="15.75" thickBot="1">
      <c r="A85" s="67"/>
      <c r="B85" s="67"/>
      <c r="C85" s="67"/>
      <c r="D85" s="67"/>
      <c r="E85" s="67"/>
      <c r="F85" s="67"/>
      <c r="G85" s="262"/>
    </row>
    <row r="86" spans="1:7" ht="15">
      <c r="A86" s="453"/>
      <c r="B86" s="453"/>
      <c r="C86" s="453"/>
      <c r="D86" s="453"/>
      <c r="E86" s="453"/>
      <c r="F86" s="453"/>
      <c r="G86" s="255"/>
    </row>
  </sheetData>
  <sheetProtection formatRows="0"/>
  <mergeCells count="2">
    <mergeCell ref="F4:G4"/>
    <mergeCell ref="A86:F86"/>
  </mergeCells>
  <phoneticPr fontId="0" type="noConversion"/>
  <hyperlinks>
    <hyperlink ref="G19" location="'Volume Calculator'!A1" display="Return to Calculator"/>
  </hyperlink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workbookViewId="0">
      <selection activeCell="G9" sqref="G9"/>
    </sheetView>
  </sheetViews>
  <sheetFormatPr defaultRowHeight="12.75"/>
  <cols>
    <col min="1" max="1" width="40.7109375" customWidth="1"/>
    <col min="5" max="5" width="21.42578125" customWidth="1"/>
    <col min="6" max="6" width="18.7109375" customWidth="1"/>
    <col min="7" max="7" width="20.7109375" bestFit="1" customWidth="1"/>
    <col min="10" max="10" width="0" hidden="1" customWidth="1"/>
  </cols>
  <sheetData>
    <row r="1" spans="1:24" ht="15.75">
      <c r="A1" s="43" t="s">
        <v>177</v>
      </c>
      <c r="B1" s="44"/>
      <c r="C1" s="44"/>
      <c r="D1" s="44"/>
      <c r="E1" s="44"/>
      <c r="F1" s="44"/>
      <c r="G1" s="252"/>
    </row>
    <row r="2" spans="1:24" ht="15">
      <c r="A2" s="457" t="s">
        <v>170</v>
      </c>
      <c r="B2" s="457"/>
      <c r="C2" s="457"/>
      <c r="D2" s="457"/>
      <c r="E2" s="457"/>
      <c r="F2" s="457"/>
      <c r="G2" s="457"/>
    </row>
    <row r="3" spans="1:24" ht="15">
      <c r="A3" s="46"/>
      <c r="B3" s="44"/>
      <c r="C3" s="44"/>
      <c r="D3" s="44"/>
      <c r="E3" s="44"/>
      <c r="F3" s="44"/>
      <c r="G3" s="252"/>
    </row>
    <row r="4" spans="1:24" ht="15.75" thickBot="1">
      <c r="A4" s="44"/>
      <c r="B4" s="44"/>
      <c r="C4" s="44"/>
      <c r="D4" s="44"/>
      <c r="E4" s="44"/>
      <c r="F4" s="44"/>
      <c r="G4" s="252"/>
    </row>
    <row r="5" spans="1:24" ht="31.5" thickBot="1">
      <c r="A5" s="64" t="s">
        <v>51</v>
      </c>
      <c r="B5" s="65"/>
      <c r="C5" s="65"/>
      <c r="D5" s="65"/>
      <c r="E5" s="65"/>
      <c r="F5" s="66" t="s">
        <v>96</v>
      </c>
      <c r="G5" s="259" t="s">
        <v>178</v>
      </c>
    </row>
    <row r="6" spans="1:24" ht="15">
      <c r="A6" s="458" t="s">
        <v>498</v>
      </c>
      <c r="B6" s="459"/>
      <c r="C6" s="459"/>
      <c r="D6" s="459"/>
      <c r="E6" s="459"/>
      <c r="F6" s="241"/>
      <c r="G6" s="259">
        <f>IF(F6="",0,F6*0.005)</f>
        <v>0</v>
      </c>
    </row>
    <row r="7" spans="1:24" ht="15">
      <c r="A7" s="458" t="s">
        <v>499</v>
      </c>
      <c r="B7" s="459"/>
      <c r="C7" s="459"/>
      <c r="D7" s="459"/>
      <c r="E7" s="459"/>
      <c r="F7" s="242"/>
      <c r="G7" s="260">
        <f>IF(F7="",0,F7*0.0025)</f>
        <v>0</v>
      </c>
    </row>
    <row r="8" spans="1:24" ht="25.5">
      <c r="A8" s="234"/>
      <c r="B8" s="185"/>
      <c r="C8" s="185"/>
      <c r="D8" s="185"/>
      <c r="E8" s="185"/>
      <c r="F8" s="235" t="s">
        <v>11</v>
      </c>
      <c r="G8" s="260"/>
    </row>
    <row r="9" spans="1:24" ht="54" customHeight="1">
      <c r="A9" s="460" t="s">
        <v>8</v>
      </c>
      <c r="B9" s="461"/>
      <c r="C9" s="461"/>
      <c r="D9" s="461"/>
      <c r="E9" s="461"/>
      <c r="F9" s="243"/>
      <c r="G9" s="260">
        <f>IF(F9="",0,F9*1/43560)</f>
        <v>0</v>
      </c>
    </row>
    <row r="10" spans="1:24" s="14" customFormat="1" ht="49.5" customHeight="1" thickBot="1">
      <c r="A10" s="460" t="s">
        <v>501</v>
      </c>
      <c r="B10" s="466"/>
      <c r="C10" s="466"/>
      <c r="D10" s="466"/>
      <c r="E10" s="466"/>
      <c r="F10" s="244"/>
      <c r="G10" s="260">
        <f>IF(F10="",0,F10*1/43560)</f>
        <v>0</v>
      </c>
      <c r="H10" s="167"/>
      <c r="I10" s="230"/>
      <c r="J10" s="167">
        <f>SUM(G6:G10)</f>
        <v>0</v>
      </c>
      <c r="K10" s="167"/>
      <c r="L10" s="167"/>
      <c r="M10" s="167"/>
      <c r="N10" s="167"/>
      <c r="O10" s="167"/>
      <c r="P10" s="167"/>
      <c r="Q10" s="167"/>
      <c r="R10" s="167"/>
      <c r="S10" s="167"/>
      <c r="T10" s="167"/>
      <c r="U10" s="167"/>
      <c r="V10" s="167"/>
      <c r="W10" s="167"/>
      <c r="X10" s="167"/>
    </row>
    <row r="11" spans="1:24" ht="15">
      <c r="A11" s="462" t="s">
        <v>24</v>
      </c>
      <c r="B11" s="463"/>
      <c r="C11" s="463"/>
      <c r="D11" s="463"/>
      <c r="E11" s="463"/>
      <c r="F11" s="464"/>
      <c r="G11" s="465"/>
    </row>
    <row r="12" spans="1:24" ht="102" customHeight="1" thickBot="1">
      <c r="A12" s="454"/>
      <c r="B12" s="455"/>
      <c r="C12" s="455"/>
      <c r="D12" s="455"/>
      <c r="E12" s="455"/>
      <c r="F12" s="456"/>
    </row>
    <row r="13" spans="1:24">
      <c r="G13" s="261" t="s">
        <v>53</v>
      </c>
    </row>
    <row r="14" spans="1:24">
      <c r="A14" t="s">
        <v>500</v>
      </c>
    </row>
  </sheetData>
  <mergeCells count="7">
    <mergeCell ref="A12:F12"/>
    <mergeCell ref="A2:G2"/>
    <mergeCell ref="A6:E6"/>
    <mergeCell ref="A7:E7"/>
    <mergeCell ref="A9:E9"/>
    <mergeCell ref="A11:G11"/>
    <mergeCell ref="A10:E10"/>
  </mergeCells>
  <phoneticPr fontId="48" type="noConversion"/>
  <hyperlinks>
    <hyperlink ref="G13" location="'Volume Calculator'!A1" display="Return to Calculator"/>
  </hyperlink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indexed="45"/>
  </sheetPr>
  <dimension ref="A1:L26"/>
  <sheetViews>
    <sheetView zoomScaleNormal="81" workbookViewId="0">
      <selection activeCell="H12" sqref="H12:I12"/>
    </sheetView>
  </sheetViews>
  <sheetFormatPr defaultRowHeight="15"/>
  <cols>
    <col min="1" max="1" width="31.28515625" style="1" customWidth="1"/>
    <col min="2" max="2" width="12.85546875" style="1" customWidth="1"/>
    <col min="3" max="3" width="7.42578125" style="1" customWidth="1"/>
    <col min="4" max="5" width="9.140625" style="1"/>
    <col min="6" max="6" width="27.42578125" style="1" customWidth="1"/>
    <col min="7" max="7" width="6.140625" style="34" hidden="1" customWidth="1"/>
    <col min="8" max="9" width="9.140625" style="27"/>
    <col min="10" max="10" width="8.85546875" style="263" hidden="1" customWidth="1"/>
    <col min="11" max="11" width="8" style="263" hidden="1" customWidth="1"/>
    <col min="12" max="12" width="6" style="264" hidden="1" customWidth="1"/>
    <col min="13" max="14" width="0" style="1" hidden="1" customWidth="1"/>
    <col min="15" max="16384" width="9.140625" style="1"/>
  </cols>
  <sheetData>
    <row r="1" spans="1:12" ht="15.75">
      <c r="A1" s="2" t="s">
        <v>38</v>
      </c>
    </row>
    <row r="2" spans="1:12" ht="44.25" customHeight="1">
      <c r="A2" s="482" t="s">
        <v>502</v>
      </c>
      <c r="B2" s="482"/>
      <c r="C2" s="482"/>
      <c r="D2" s="482"/>
      <c r="E2" s="482"/>
      <c r="F2" s="482"/>
      <c r="G2" s="35"/>
      <c r="H2" s="41"/>
    </row>
    <row r="3" spans="1:12">
      <c r="A3" s="3"/>
    </row>
    <row r="4" spans="1:12">
      <c r="A4" s="3"/>
    </row>
    <row r="5" spans="1:12" ht="20.100000000000001" customHeight="1">
      <c r="A5" s="484" t="s">
        <v>100</v>
      </c>
      <c r="B5" s="467"/>
      <c r="C5" s="467"/>
      <c r="D5" s="467"/>
      <c r="E5" s="467"/>
      <c r="F5" s="467"/>
      <c r="G5" s="36" t="s">
        <v>49</v>
      </c>
      <c r="H5" s="30"/>
      <c r="I5" s="30"/>
    </row>
    <row r="6" spans="1:12" ht="33.75" customHeight="1">
      <c r="A6" s="483" t="s">
        <v>507</v>
      </c>
      <c r="B6" s="483"/>
      <c r="C6" s="483"/>
      <c r="D6" s="483"/>
      <c r="E6" s="483"/>
      <c r="F6" s="483"/>
      <c r="G6" s="37" t="s">
        <v>50</v>
      </c>
      <c r="H6" s="31"/>
      <c r="I6" s="31"/>
      <c r="K6" s="265">
        <v>2</v>
      </c>
    </row>
    <row r="7" spans="1:12" ht="44.25" customHeight="1">
      <c r="A7" s="483" t="s">
        <v>509</v>
      </c>
      <c r="B7" s="483"/>
      <c r="C7" s="483"/>
      <c r="D7" s="483"/>
      <c r="E7" s="483"/>
      <c r="F7" s="483"/>
      <c r="G7" s="37" t="s">
        <v>50</v>
      </c>
      <c r="H7" s="31"/>
      <c r="I7" s="31"/>
      <c r="K7" s="265">
        <v>2</v>
      </c>
    </row>
    <row r="8" spans="1:12" ht="49.5" customHeight="1">
      <c r="A8" s="483" t="s">
        <v>508</v>
      </c>
      <c r="B8" s="483"/>
      <c r="C8" s="483"/>
      <c r="D8" s="483"/>
      <c r="E8" s="483"/>
      <c r="F8" s="483"/>
      <c r="G8" s="37" t="s">
        <v>50</v>
      </c>
      <c r="H8" s="272"/>
      <c r="I8" s="273"/>
      <c r="K8" s="265">
        <v>2</v>
      </c>
    </row>
    <row r="9" spans="1:12" ht="40.5" customHeight="1">
      <c r="A9" s="479" t="s">
        <v>510</v>
      </c>
      <c r="B9" s="480"/>
      <c r="C9" s="480"/>
      <c r="D9" s="480"/>
      <c r="E9" s="480"/>
      <c r="F9" s="481"/>
      <c r="G9" s="37"/>
      <c r="H9" s="31"/>
      <c r="I9" s="31"/>
      <c r="K9" s="265">
        <v>2</v>
      </c>
    </row>
    <row r="10" spans="1:12" ht="34.5" customHeight="1">
      <c r="A10" s="476"/>
      <c r="B10" s="477"/>
      <c r="C10" s="477"/>
      <c r="D10" s="477"/>
      <c r="E10" s="477"/>
      <c r="F10" s="478"/>
      <c r="G10" s="37"/>
      <c r="H10" s="30"/>
      <c r="I10" s="30"/>
    </row>
    <row r="11" spans="1:12" ht="47.25" customHeight="1">
      <c r="A11" s="473" t="str">
        <f>"Percentage of existing "&amp;'Volume Calculator'!K17&amp;" Acre(s) of rooftop surface that have disconnected downspouts"</f>
        <v>Percentage of existing 0 Acre(s) of rooftop surface that have disconnected downspouts</v>
      </c>
      <c r="B11" s="474"/>
      <c r="C11" s="474"/>
      <c r="D11" s="474"/>
      <c r="E11" s="474"/>
      <c r="F11" s="475"/>
      <c r="G11" s="38">
        <v>0.5</v>
      </c>
      <c r="H11" s="468"/>
      <c r="I11" s="469"/>
      <c r="J11" s="263">
        <f>'Volume Calculator'!K17*(H11/100)</f>
        <v>0</v>
      </c>
      <c r="L11" s="42" t="str">
        <f>IF(H11&gt;0,"%","")</f>
        <v/>
      </c>
    </row>
    <row r="12" spans="1:12" ht="36.75" customHeight="1">
      <c r="A12" s="473" t="str">
        <f>"Percentage of the proposed "&amp;'Volume Calculator'!K19&amp;" Acre(s) of rooftop surface that have disconnected downspouts"</f>
        <v>Percentage of the proposed 0 Acre(s) of rooftop surface that have disconnected downspouts</v>
      </c>
      <c r="B12" s="474"/>
      <c r="C12" s="474"/>
      <c r="D12" s="474"/>
      <c r="E12" s="474"/>
      <c r="F12" s="475"/>
      <c r="G12" s="38">
        <v>0.25</v>
      </c>
      <c r="H12" s="470"/>
      <c r="I12" s="471"/>
      <c r="J12" s="263">
        <f>'Volume Calculator'!K19*(H12/100)</f>
        <v>0</v>
      </c>
      <c r="L12" s="42" t="str">
        <f>IF(H12&gt;0,"%","")</f>
        <v/>
      </c>
    </row>
    <row r="13" spans="1:12" ht="34.5" customHeight="1">
      <c r="A13" s="467"/>
      <c r="B13" s="467"/>
      <c r="C13" s="467"/>
      <c r="D13" s="467"/>
      <c r="E13" s="467"/>
      <c r="F13" s="467"/>
      <c r="G13" s="37"/>
      <c r="H13" s="472" t="s">
        <v>53</v>
      </c>
      <c r="I13" s="472"/>
    </row>
    <row r="14" spans="1:12" ht="30.75" customHeight="1">
      <c r="A14" s="5"/>
      <c r="B14" s="5"/>
      <c r="C14" s="5"/>
      <c r="D14" s="5"/>
      <c r="E14" s="5"/>
      <c r="K14" s="263">
        <f>SUM(K6:K8)</f>
        <v>6</v>
      </c>
    </row>
    <row r="15" spans="1:12" ht="31.5" customHeight="1">
      <c r="A15" s="5"/>
      <c r="B15" s="17"/>
      <c r="C15" s="17"/>
      <c r="D15" s="17"/>
      <c r="E15" s="17"/>
      <c r="F15" s="17"/>
      <c r="G15" s="39"/>
    </row>
    <row r="16" spans="1:12">
      <c r="A16" s="17"/>
      <c r="B16" s="17"/>
      <c r="C16" s="17"/>
      <c r="D16" s="17"/>
      <c r="E16" s="17"/>
      <c r="F16" s="17"/>
      <c r="G16" s="39"/>
    </row>
    <row r="17" spans="1:7" ht="15" customHeight="1">
      <c r="A17" s="17"/>
      <c r="B17" s="17"/>
      <c r="C17" s="17"/>
      <c r="D17" s="17"/>
      <c r="E17" s="17"/>
      <c r="F17" s="17"/>
      <c r="G17" s="39"/>
    </row>
    <row r="18" spans="1:7">
      <c r="A18" s="17"/>
      <c r="B18" s="17"/>
      <c r="C18" s="17"/>
      <c r="D18" s="17"/>
      <c r="E18" s="17"/>
      <c r="F18" s="17"/>
      <c r="G18" s="39"/>
    </row>
    <row r="19" spans="1:7">
      <c r="A19" s="17"/>
      <c r="B19" s="17"/>
      <c r="C19" s="17"/>
      <c r="D19" s="17"/>
      <c r="E19" s="17"/>
      <c r="F19" s="17"/>
      <c r="G19" s="39"/>
    </row>
    <row r="20" spans="1:7" ht="15.75" customHeight="1">
      <c r="A20" s="17"/>
      <c r="B20" s="17"/>
      <c r="C20" s="17"/>
      <c r="D20" s="17"/>
      <c r="E20" s="17"/>
      <c r="F20" s="17"/>
      <c r="G20" s="39"/>
    </row>
    <row r="21" spans="1:7" ht="15" customHeight="1">
      <c r="A21" s="17"/>
      <c r="B21" s="17"/>
      <c r="C21" s="17"/>
      <c r="D21" s="17"/>
      <c r="E21" s="17"/>
      <c r="F21" s="17"/>
      <c r="G21" s="39"/>
    </row>
    <row r="22" spans="1:7" ht="15" customHeight="1">
      <c r="A22" s="17"/>
      <c r="B22" s="17"/>
      <c r="C22" s="17"/>
      <c r="D22" s="17"/>
      <c r="E22" s="17"/>
      <c r="F22" s="17"/>
    </row>
    <row r="23" spans="1:7" ht="15.75" customHeight="1">
      <c r="A23" s="17"/>
      <c r="B23" s="17"/>
      <c r="C23" s="17"/>
      <c r="D23" s="17"/>
      <c r="E23" s="17"/>
      <c r="F23" s="17"/>
    </row>
    <row r="24" spans="1:7">
      <c r="A24" s="17"/>
      <c r="B24" s="17"/>
      <c r="C24" s="17"/>
      <c r="D24" s="17"/>
      <c r="E24" s="17"/>
      <c r="F24" s="17"/>
    </row>
    <row r="26" spans="1:7">
      <c r="G26" s="40" t="s">
        <v>75</v>
      </c>
    </row>
  </sheetData>
  <sheetProtection formatCells="0" formatRows="0"/>
  <mergeCells count="13">
    <mergeCell ref="A10:F10"/>
    <mergeCell ref="A9:F9"/>
    <mergeCell ref="A2:F2"/>
    <mergeCell ref="A8:F8"/>
    <mergeCell ref="A5:F5"/>
    <mergeCell ref="A6:F6"/>
    <mergeCell ref="A7:F7"/>
    <mergeCell ref="A13:F13"/>
    <mergeCell ref="H11:I11"/>
    <mergeCell ref="H12:I12"/>
    <mergeCell ref="H13:I13"/>
    <mergeCell ref="A11:F11"/>
    <mergeCell ref="A12:F12"/>
  </mergeCells>
  <phoneticPr fontId="0" type="noConversion"/>
  <hyperlinks>
    <hyperlink ref="H13" location="'Volume Calculator'!G25" display="Return to Calculator"/>
    <hyperlink ref="G26" location="G25" display="G25"/>
  </hyperlink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7</xdr:col>
                    <xdr:colOff>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7</xdr:col>
                    <xdr:colOff>0</xdr:colOff>
                    <xdr:row>6</xdr:row>
                    <xdr:rowOff>66675</xdr:rowOff>
                  </from>
                  <to>
                    <xdr:col>8</xdr:col>
                    <xdr:colOff>0</xdr:colOff>
                    <xdr:row>6</xdr:row>
                    <xdr:rowOff>485775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7</xdr:col>
                    <xdr:colOff>0</xdr:colOff>
                    <xdr:row>7</xdr:row>
                    <xdr:rowOff>0</xdr:rowOff>
                  </from>
                  <to>
                    <xdr:col>8</xdr:col>
                    <xdr:colOff>0</xdr:colOff>
                    <xdr:row>7</xdr:row>
                    <xdr:rowOff>419100</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8</xdr:col>
                    <xdr:colOff>0</xdr:colOff>
                    <xdr:row>5</xdr:row>
                    <xdr:rowOff>9525</xdr:rowOff>
                  </from>
                  <to>
                    <xdr:col>9</xdr:col>
                    <xdr:colOff>0</xdr:colOff>
                    <xdr:row>5</xdr:row>
                    <xdr:rowOff>409575</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8</xdr:col>
                    <xdr:colOff>0</xdr:colOff>
                    <xdr:row>6</xdr:row>
                    <xdr:rowOff>85725</xdr:rowOff>
                  </from>
                  <to>
                    <xdr:col>9</xdr:col>
                    <xdr:colOff>0</xdr:colOff>
                    <xdr:row>6</xdr:row>
                    <xdr:rowOff>485775</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8</xdr:col>
                    <xdr:colOff>0</xdr:colOff>
                    <xdr:row>7</xdr:row>
                    <xdr:rowOff>9525</xdr:rowOff>
                  </from>
                  <to>
                    <xdr:col>9</xdr:col>
                    <xdr:colOff>0</xdr:colOff>
                    <xdr:row>7</xdr:row>
                    <xdr:rowOff>409575</xdr:rowOff>
                  </to>
                </anchor>
              </controlPr>
            </control>
          </mc:Choice>
        </mc:AlternateContent>
        <mc:AlternateContent xmlns:mc="http://schemas.openxmlformats.org/markup-compatibility/2006">
          <mc:Choice Requires="x14">
            <control shapeId="4103" r:id="rId10" name="Group Box 7">
              <controlPr defaultSize="0" autoFill="0" autoPict="0">
                <anchor moveWithCells="1">
                  <from>
                    <xdr:col>7</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4105" r:id="rId11" name="Group Box 9">
              <controlPr defaultSize="0" autoFill="0" autoPict="0">
                <anchor moveWithCells="1">
                  <from>
                    <xdr:col>7</xdr:col>
                    <xdr:colOff>0</xdr:colOff>
                    <xdr:row>6</xdr:row>
                    <xdr:rowOff>0</xdr:rowOff>
                  </from>
                  <to>
                    <xdr:col>9</xdr:col>
                    <xdr:colOff>0</xdr:colOff>
                    <xdr:row>7</xdr:row>
                    <xdr:rowOff>0</xdr:rowOff>
                  </to>
                </anchor>
              </controlPr>
            </control>
          </mc:Choice>
        </mc:AlternateContent>
        <mc:AlternateContent xmlns:mc="http://schemas.openxmlformats.org/markup-compatibility/2006">
          <mc:Choice Requires="x14">
            <control shapeId="4106" r:id="rId12" name="Group Box 10">
              <controlPr defaultSize="0" autoFill="0" autoPict="0">
                <anchor moveWithCells="1">
                  <from>
                    <xdr:col>7</xdr:col>
                    <xdr:colOff>0</xdr:colOff>
                    <xdr:row>7</xdr:row>
                    <xdr:rowOff>0</xdr:rowOff>
                  </from>
                  <to>
                    <xdr:col>9</xdr:col>
                    <xdr:colOff>0</xdr:colOff>
                    <xdr:row>7</xdr:row>
                    <xdr:rowOff>619125</xdr:rowOff>
                  </to>
                </anchor>
              </controlPr>
            </control>
          </mc:Choice>
        </mc:AlternateContent>
        <mc:AlternateContent xmlns:mc="http://schemas.openxmlformats.org/markup-compatibility/2006">
          <mc:Choice Requires="x14">
            <control shapeId="4107" r:id="rId13" name="Option Button 11">
              <controlPr defaultSize="0" autoFill="0" autoLine="0" autoPict="0">
                <anchor moveWithCells="1">
                  <from>
                    <xdr:col>7</xdr:col>
                    <xdr:colOff>47625</xdr:colOff>
                    <xdr:row>8</xdr:row>
                    <xdr:rowOff>38100</xdr:rowOff>
                  </from>
                  <to>
                    <xdr:col>7</xdr:col>
                    <xdr:colOff>590550</xdr:colOff>
                    <xdr:row>8</xdr:row>
                    <xdr:rowOff>419100</xdr:rowOff>
                  </to>
                </anchor>
              </controlPr>
            </control>
          </mc:Choice>
        </mc:AlternateContent>
        <mc:AlternateContent xmlns:mc="http://schemas.openxmlformats.org/markup-compatibility/2006">
          <mc:Choice Requires="x14">
            <control shapeId="4108" r:id="rId14" name="Option Button 12">
              <controlPr defaultSize="0" autoFill="0" autoLine="0" autoPict="0">
                <anchor moveWithCells="1">
                  <from>
                    <xdr:col>8</xdr:col>
                    <xdr:colOff>9525</xdr:colOff>
                    <xdr:row>8</xdr:row>
                    <xdr:rowOff>47625</xdr:rowOff>
                  </from>
                  <to>
                    <xdr:col>8</xdr:col>
                    <xdr:colOff>552450</xdr:colOff>
                    <xdr:row>8</xdr:row>
                    <xdr:rowOff>400050</xdr:rowOff>
                  </to>
                </anchor>
              </controlPr>
            </control>
          </mc:Choice>
        </mc:AlternateContent>
        <mc:AlternateContent xmlns:mc="http://schemas.openxmlformats.org/markup-compatibility/2006">
          <mc:Choice Requires="x14">
            <control shapeId="4109" r:id="rId15" name="Group Box 13">
              <controlPr defaultSize="0" autoFill="0" autoPict="0">
                <anchor moveWithCells="1">
                  <from>
                    <xdr:col>5</xdr:col>
                    <xdr:colOff>1819275</xdr:colOff>
                    <xdr:row>8</xdr:row>
                    <xdr:rowOff>0</xdr:rowOff>
                  </from>
                  <to>
                    <xdr:col>8</xdr:col>
                    <xdr:colOff>600075</xdr:colOff>
                    <xdr:row>8</xdr:row>
                    <xdr:rowOff>504825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5"/>
  </sheetPr>
  <dimension ref="A1:J16"/>
  <sheetViews>
    <sheetView workbookViewId="0">
      <selection activeCell="G12" sqref="G12"/>
    </sheetView>
  </sheetViews>
  <sheetFormatPr defaultRowHeight="15"/>
  <cols>
    <col min="1" max="1" width="26.42578125" style="44" customWidth="1"/>
    <col min="2" max="5" width="9.140625" style="44"/>
    <col min="6" max="6" width="22.42578125" style="44" customWidth="1"/>
    <col min="7" max="7" width="27" style="44" customWidth="1"/>
    <col min="8" max="8" width="9.140625" style="44"/>
    <col min="9" max="9" width="9.7109375" style="44" hidden="1" customWidth="1"/>
    <col min="10" max="10" width="12.85546875" style="44" hidden="1" customWidth="1"/>
    <col min="11" max="16384" width="9.140625" style="1"/>
  </cols>
  <sheetData>
    <row r="1" spans="1:10" ht="15.75">
      <c r="A1" s="43" t="s">
        <v>41</v>
      </c>
    </row>
    <row r="2" spans="1:10" ht="47.25" customHeight="1">
      <c r="A2" s="489" t="s">
        <v>504</v>
      </c>
      <c r="B2" s="489"/>
      <c r="C2" s="489"/>
      <c r="D2" s="489"/>
      <c r="E2" s="489"/>
      <c r="F2" s="489"/>
      <c r="G2" s="489"/>
    </row>
    <row r="3" spans="1:10" ht="17.25" customHeight="1">
      <c r="A3" s="78"/>
      <c r="B3" s="175"/>
      <c r="C3" s="175"/>
      <c r="D3" s="175"/>
      <c r="E3" s="175"/>
      <c r="F3" s="175"/>
      <c r="G3" s="175"/>
    </row>
    <row r="5" spans="1:10" ht="21" customHeight="1" thickBot="1">
      <c r="A5" s="490" t="s">
        <v>44</v>
      </c>
      <c r="B5" s="491"/>
      <c r="C5" s="491"/>
      <c r="D5" s="491"/>
      <c r="E5" s="491"/>
      <c r="F5" s="491"/>
      <c r="G5" s="79" t="s">
        <v>49</v>
      </c>
    </row>
    <row r="6" spans="1:10" ht="55.5" customHeight="1">
      <c r="A6" s="492" t="s">
        <v>511</v>
      </c>
      <c r="B6" s="493"/>
      <c r="C6" s="493"/>
      <c r="D6" s="493"/>
      <c r="E6" s="493"/>
      <c r="F6" s="493"/>
      <c r="G6" s="85"/>
      <c r="I6" s="266">
        <v>2</v>
      </c>
    </row>
    <row r="7" spans="1:10" ht="68.25" customHeight="1" thickBot="1">
      <c r="A7" s="494" t="s">
        <v>512</v>
      </c>
      <c r="B7" s="495"/>
      <c r="C7" s="495"/>
      <c r="D7" s="495"/>
      <c r="E7" s="495"/>
      <c r="F7" s="496"/>
      <c r="G7" s="85"/>
      <c r="I7" s="266">
        <v>2</v>
      </c>
    </row>
    <row r="8" spans="1:10" ht="40.5" customHeight="1">
      <c r="A8" s="485" t="s">
        <v>513</v>
      </c>
      <c r="B8" s="486"/>
      <c r="C8" s="486"/>
      <c r="D8" s="486"/>
      <c r="E8" s="486"/>
      <c r="F8" s="487"/>
      <c r="G8" s="85"/>
      <c r="I8" s="266">
        <v>2</v>
      </c>
    </row>
    <row r="9" spans="1:10" ht="29.1" customHeight="1">
      <c r="A9" s="61"/>
      <c r="B9" s="61"/>
      <c r="C9" s="61"/>
      <c r="D9" s="61"/>
      <c r="E9" s="61"/>
      <c r="F9" s="61"/>
      <c r="G9" s="84"/>
      <c r="I9" s="44">
        <f>SUM(I6:I8)</f>
        <v>6</v>
      </c>
    </row>
    <row r="10" spans="1:10" ht="29.1" customHeight="1">
      <c r="A10" s="488" t="str">
        <f>"Percentage of existing "&amp;'Volume Calculator'!K18&amp;" Acre(s) of non-rooftop surface area disconnected"</f>
        <v>Percentage of existing 0 Acre(s) of non-rooftop surface area disconnected</v>
      </c>
      <c r="B10" s="474"/>
      <c r="C10" s="474"/>
      <c r="D10" s="474"/>
      <c r="E10" s="474"/>
      <c r="F10" s="475"/>
      <c r="G10" s="250"/>
      <c r="H10" s="81"/>
      <c r="I10" s="252">
        <f>(G10/100)*'Volume Calculator'!K18</f>
        <v>0</v>
      </c>
      <c r="J10" s="81" t="str">
        <f>IF(G10&gt;0,"%","")</f>
        <v/>
      </c>
    </row>
    <row r="11" spans="1:10" ht="27.75" customHeight="1">
      <c r="A11" s="488" t="str">
        <f>"Percentage of the proposed "&amp;'Volume Calculator'!K20&amp;" Acre(s) of non-rooftop surface area disconnected"</f>
        <v>Percentage of the proposed 0 Acre(s) of non-rooftop surface area disconnected</v>
      </c>
      <c r="B11" s="474"/>
      <c r="C11" s="474"/>
      <c r="D11" s="474"/>
      <c r="E11" s="474"/>
      <c r="F11" s="475"/>
      <c r="G11" s="251"/>
      <c r="H11" s="81" t="str">
        <f>IF(G11&gt;0,"%","")</f>
        <v/>
      </c>
      <c r="I11" s="44">
        <f>(G11/100)*'Volume Calculator'!K20</f>
        <v>0</v>
      </c>
      <c r="J11" s="81" t="b">
        <f>IF(G11&gt;0,"")</f>
        <v>0</v>
      </c>
    </row>
    <row r="12" spans="1:10">
      <c r="A12" s="61"/>
      <c r="B12" s="61"/>
      <c r="C12" s="61"/>
      <c r="D12" s="61"/>
      <c r="E12" s="61"/>
      <c r="F12" s="61"/>
      <c r="G12" s="50"/>
    </row>
    <row r="13" spans="1:10">
      <c r="A13" s="61"/>
      <c r="B13" s="61"/>
      <c r="C13" s="61"/>
      <c r="D13" s="61"/>
      <c r="E13" s="61"/>
      <c r="F13" s="61"/>
      <c r="G13" s="136" t="s">
        <v>53</v>
      </c>
      <c r="H13"/>
    </row>
    <row r="14" spans="1:10">
      <c r="A14" s="61"/>
      <c r="B14" s="61"/>
      <c r="C14" s="61"/>
      <c r="D14" s="61"/>
      <c r="E14" s="61"/>
      <c r="F14" s="61"/>
      <c r="G14" s="50"/>
    </row>
    <row r="15" spans="1:10">
      <c r="A15" s="61"/>
      <c r="B15" s="61"/>
      <c r="C15" s="61"/>
      <c r="D15" s="61"/>
      <c r="E15" s="61"/>
      <c r="F15" s="61"/>
      <c r="G15" s="50"/>
    </row>
    <row r="16" spans="1:10">
      <c r="A16" s="61"/>
      <c r="B16" s="61"/>
      <c r="C16" s="61"/>
      <c r="D16" s="61"/>
      <c r="E16" s="61"/>
      <c r="F16" s="61"/>
      <c r="G16" s="50"/>
    </row>
  </sheetData>
  <sheetProtection formatRows="0"/>
  <mergeCells count="7">
    <mergeCell ref="A8:F8"/>
    <mergeCell ref="A10:F10"/>
    <mergeCell ref="A11:F11"/>
    <mergeCell ref="A2:G2"/>
    <mergeCell ref="A5:F5"/>
    <mergeCell ref="A6:F6"/>
    <mergeCell ref="A7:F7"/>
  </mergeCells>
  <phoneticPr fontId="0" type="noConversion"/>
  <hyperlinks>
    <hyperlink ref="G13" location="'Volume Calculator'!G25" display="Return to Calculator"/>
  </hyperlink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33" r:id="rId4" name="Group Box 13">
              <controlPr locked="0" defaultSize="0" autoFill="0" autoPict="0">
                <anchor moveWithCells="1">
                  <from>
                    <xdr:col>6</xdr:col>
                    <xdr:colOff>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5134" r:id="rId5" name="Option Button 14">
              <controlPr defaultSize="0" autoFill="0" autoLine="0" autoPict="0">
                <anchor moveWithCells="1">
                  <from>
                    <xdr:col>6</xdr:col>
                    <xdr:colOff>219075</xdr:colOff>
                    <xdr:row>5</xdr:row>
                    <xdr:rowOff>85725</xdr:rowOff>
                  </from>
                  <to>
                    <xdr:col>6</xdr:col>
                    <xdr:colOff>800100</xdr:colOff>
                    <xdr:row>5</xdr:row>
                    <xdr:rowOff>323850</xdr:rowOff>
                  </to>
                </anchor>
              </controlPr>
            </control>
          </mc:Choice>
        </mc:AlternateContent>
        <mc:AlternateContent xmlns:mc="http://schemas.openxmlformats.org/markup-compatibility/2006">
          <mc:Choice Requires="x14">
            <control shapeId="5135" r:id="rId6" name="Option Button 15">
              <controlPr defaultSize="0" autoFill="0" autoLine="0" autoPict="0">
                <anchor moveWithCells="1">
                  <from>
                    <xdr:col>6</xdr:col>
                    <xdr:colOff>981075</xdr:colOff>
                    <xdr:row>5</xdr:row>
                    <xdr:rowOff>85725</xdr:rowOff>
                  </from>
                  <to>
                    <xdr:col>6</xdr:col>
                    <xdr:colOff>1466850</xdr:colOff>
                    <xdr:row>5</xdr:row>
                    <xdr:rowOff>304800</xdr:rowOff>
                  </to>
                </anchor>
              </controlPr>
            </control>
          </mc:Choice>
        </mc:AlternateContent>
        <mc:AlternateContent xmlns:mc="http://schemas.openxmlformats.org/markup-compatibility/2006">
          <mc:Choice Requires="x14">
            <control shapeId="5136" r:id="rId7" name="Group Box 16">
              <controlPr defaultSize="0" autoFill="0" autoPict="0">
                <anchor moveWithCells="1">
                  <from>
                    <xdr:col>6</xdr:col>
                    <xdr:colOff>0</xdr:colOff>
                    <xdr:row>6</xdr:row>
                    <xdr:rowOff>9525</xdr:rowOff>
                  </from>
                  <to>
                    <xdr:col>7</xdr:col>
                    <xdr:colOff>0</xdr:colOff>
                    <xdr:row>7</xdr:row>
                    <xdr:rowOff>0</xdr:rowOff>
                  </to>
                </anchor>
              </controlPr>
            </control>
          </mc:Choice>
        </mc:AlternateContent>
        <mc:AlternateContent xmlns:mc="http://schemas.openxmlformats.org/markup-compatibility/2006">
          <mc:Choice Requires="x14">
            <control shapeId="5137" r:id="rId8" name="Option Button 17">
              <controlPr defaultSize="0" autoFill="0" autoLine="0" autoPict="0">
                <anchor moveWithCells="1">
                  <from>
                    <xdr:col>6</xdr:col>
                    <xdr:colOff>200025</xdr:colOff>
                    <xdr:row>6</xdr:row>
                    <xdr:rowOff>314325</xdr:rowOff>
                  </from>
                  <to>
                    <xdr:col>6</xdr:col>
                    <xdr:colOff>723900</xdr:colOff>
                    <xdr:row>6</xdr:row>
                    <xdr:rowOff>581025</xdr:rowOff>
                  </to>
                </anchor>
              </controlPr>
            </control>
          </mc:Choice>
        </mc:AlternateContent>
        <mc:AlternateContent xmlns:mc="http://schemas.openxmlformats.org/markup-compatibility/2006">
          <mc:Choice Requires="x14">
            <control shapeId="5138" r:id="rId9" name="Option Button 18">
              <controlPr defaultSize="0" autoFill="0" autoLine="0" autoPict="0">
                <anchor moveWithCells="1">
                  <from>
                    <xdr:col>6</xdr:col>
                    <xdr:colOff>1000125</xdr:colOff>
                    <xdr:row>6</xdr:row>
                    <xdr:rowOff>295275</xdr:rowOff>
                  </from>
                  <to>
                    <xdr:col>6</xdr:col>
                    <xdr:colOff>1457325</xdr:colOff>
                    <xdr:row>6</xdr:row>
                    <xdr:rowOff>600075</xdr:rowOff>
                  </to>
                </anchor>
              </controlPr>
            </control>
          </mc:Choice>
        </mc:AlternateContent>
        <mc:AlternateContent xmlns:mc="http://schemas.openxmlformats.org/markup-compatibility/2006">
          <mc:Choice Requires="x14">
            <control shapeId="5139" r:id="rId10" name="Group Box 19">
              <controlPr defaultSize="0" autoFill="0" autoPict="0">
                <anchor moveWithCells="1">
                  <from>
                    <xdr:col>6</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5140" r:id="rId11" name="Option Button 20">
              <controlPr defaultSize="0" autoFill="0" autoLine="0" autoPict="0">
                <anchor moveWithCells="1">
                  <from>
                    <xdr:col>6</xdr:col>
                    <xdr:colOff>209550</xdr:colOff>
                    <xdr:row>7</xdr:row>
                    <xdr:rowOff>161925</xdr:rowOff>
                  </from>
                  <to>
                    <xdr:col>6</xdr:col>
                    <xdr:colOff>800100</xdr:colOff>
                    <xdr:row>7</xdr:row>
                    <xdr:rowOff>381000</xdr:rowOff>
                  </to>
                </anchor>
              </controlPr>
            </control>
          </mc:Choice>
        </mc:AlternateContent>
        <mc:AlternateContent xmlns:mc="http://schemas.openxmlformats.org/markup-compatibility/2006">
          <mc:Choice Requires="x14">
            <control shapeId="5141" r:id="rId12" name="Option Button 21">
              <controlPr defaultSize="0" autoFill="0" autoLine="0" autoPict="0">
                <anchor moveWithCells="1">
                  <from>
                    <xdr:col>6</xdr:col>
                    <xdr:colOff>981075</xdr:colOff>
                    <xdr:row>7</xdr:row>
                    <xdr:rowOff>152400</xdr:rowOff>
                  </from>
                  <to>
                    <xdr:col>6</xdr:col>
                    <xdr:colOff>1495425</xdr:colOff>
                    <xdr:row>7</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J18"/>
  <sheetViews>
    <sheetView zoomScaleNormal="76" workbookViewId="0">
      <selection activeCell="G12" sqref="G12:H12"/>
    </sheetView>
  </sheetViews>
  <sheetFormatPr defaultRowHeight="15"/>
  <cols>
    <col min="1" max="1" width="26.42578125" style="44" customWidth="1"/>
    <col min="2" max="2" width="6.140625" style="44" customWidth="1"/>
    <col min="3" max="3" width="8.5703125" style="44" customWidth="1"/>
    <col min="4" max="5" width="9.140625" style="44"/>
    <col min="6" max="6" width="37.42578125" style="44" customWidth="1"/>
    <col min="7" max="7" width="28.28515625" style="44" customWidth="1"/>
    <col min="8" max="8" width="9.42578125" style="86" hidden="1" customWidth="1"/>
    <col min="9" max="9" width="7.85546875" style="86" hidden="1" customWidth="1"/>
    <col min="10" max="10" width="9.140625" style="44"/>
    <col min="11" max="16384" width="9.140625" style="1"/>
  </cols>
  <sheetData>
    <row r="1" spans="1:10" ht="15.75">
      <c r="A1" s="13" t="s">
        <v>505</v>
      </c>
      <c r="B1" s="6"/>
      <c r="C1" s="6"/>
      <c r="D1" s="6"/>
      <c r="E1" s="6"/>
      <c r="F1" s="6"/>
      <c r="G1" s="6"/>
    </row>
    <row r="2" spans="1:10" ht="38.25" customHeight="1">
      <c r="A2" s="498" t="s">
        <v>514</v>
      </c>
      <c r="B2" s="498"/>
      <c r="C2" s="498"/>
      <c r="D2" s="498"/>
      <c r="E2" s="498"/>
      <c r="F2" s="498"/>
      <c r="G2" s="498"/>
    </row>
    <row r="3" spans="1:10">
      <c r="A3" s="15"/>
      <c r="B3" s="6"/>
      <c r="C3" s="6"/>
      <c r="D3" s="6"/>
      <c r="E3" s="6"/>
      <c r="F3" s="6"/>
      <c r="G3" s="6"/>
    </row>
    <row r="4" spans="1:10">
      <c r="A4" s="6"/>
      <c r="B4" s="6"/>
      <c r="C4" s="6"/>
      <c r="D4" s="6"/>
      <c r="E4" s="6"/>
      <c r="F4" s="6"/>
      <c r="G4" s="6"/>
    </row>
    <row r="5" spans="1:10" ht="15.75" thickBot="1">
      <c r="A5" s="6"/>
      <c r="B5" s="6"/>
      <c r="C5" s="6"/>
      <c r="D5" s="6"/>
      <c r="E5" s="6"/>
      <c r="F5" s="6"/>
      <c r="G5" s="6"/>
    </row>
    <row r="6" spans="1:10" ht="21" customHeight="1" thickBot="1">
      <c r="A6" s="499" t="s">
        <v>66</v>
      </c>
      <c r="B6" s="500"/>
      <c r="C6" s="500"/>
      <c r="D6" s="500"/>
      <c r="E6" s="500"/>
      <c r="F6" s="501"/>
      <c r="G6" s="82" t="s">
        <v>49</v>
      </c>
    </row>
    <row r="7" spans="1:10" ht="54.75" customHeight="1">
      <c r="A7" s="502" t="s">
        <v>515</v>
      </c>
      <c r="B7" s="503"/>
      <c r="C7" s="503"/>
      <c r="D7" s="503"/>
      <c r="E7" s="503"/>
      <c r="F7" s="504"/>
      <c r="G7" s="7"/>
      <c r="I7" s="266">
        <v>2</v>
      </c>
    </row>
    <row r="8" spans="1:10" ht="47.1" customHeight="1">
      <c r="A8" s="505" t="s">
        <v>516</v>
      </c>
      <c r="B8" s="506"/>
      <c r="C8" s="506"/>
      <c r="D8" s="506"/>
      <c r="E8" s="506"/>
      <c r="F8" s="507"/>
      <c r="G8" s="7"/>
      <c r="I8" s="266">
        <v>2</v>
      </c>
    </row>
    <row r="9" spans="1:10" ht="47.1" customHeight="1">
      <c r="A9" s="505" t="s">
        <v>517</v>
      </c>
      <c r="B9" s="506"/>
      <c r="C9" s="506"/>
      <c r="D9" s="506"/>
      <c r="E9" s="506"/>
      <c r="F9" s="507"/>
      <c r="G9" s="7"/>
      <c r="H9" s="44"/>
      <c r="I9" s="266">
        <v>2</v>
      </c>
    </row>
    <row r="10" spans="1:10" ht="39" customHeight="1">
      <c r="A10" s="505" t="str">
        <f>"Percentage of existing "&amp;'Volume Calculator'!K17&amp;" Acres(s) of rooftop surface area in greenroof"</f>
        <v>Percentage of existing 0 Acres(s) of rooftop surface area in greenroof</v>
      </c>
      <c r="B10" s="474"/>
      <c r="C10" s="474"/>
      <c r="D10" s="474"/>
      <c r="E10" s="474"/>
      <c r="F10" s="475"/>
      <c r="G10" s="246"/>
      <c r="H10" s="44">
        <f>SUM('Volume Calculator'!K17*G10)</f>
        <v>0</v>
      </c>
      <c r="I10" s="44">
        <f>SUM(I7:I9)</f>
        <v>6</v>
      </c>
      <c r="J10" s="81"/>
    </row>
    <row r="11" spans="1:10" ht="39" customHeight="1">
      <c r="A11" s="505" t="str">
        <f>"Percentage of the proposed "&amp;'Volume Calculator'!K19&amp;" Acre(s) of rooftop surface area in greenroof"</f>
        <v>Percentage of the proposed 0 Acre(s) of rooftop surface area in greenroof</v>
      </c>
      <c r="B11" s="474"/>
      <c r="C11" s="474"/>
      <c r="D11" s="474"/>
      <c r="E11" s="474"/>
      <c r="F11" s="475"/>
      <c r="G11" s="247"/>
      <c r="H11" s="44">
        <f>SUM('Volume Calculator'!K19*G11)</f>
        <v>0</v>
      </c>
      <c r="I11" s="44"/>
      <c r="J11" s="81"/>
    </row>
    <row r="12" spans="1:10" ht="45.75" customHeight="1">
      <c r="A12" s="61"/>
      <c r="B12" s="61"/>
      <c r="C12" s="61"/>
      <c r="D12" s="61"/>
      <c r="E12" s="61"/>
      <c r="F12" s="61"/>
      <c r="G12" s="497" t="s">
        <v>53</v>
      </c>
      <c r="H12" s="497"/>
      <c r="I12" s="44"/>
    </row>
    <row r="13" spans="1:10" ht="22.5" customHeight="1">
      <c r="A13" s="61"/>
      <c r="B13" s="61"/>
      <c r="C13" s="61"/>
      <c r="D13" s="61"/>
      <c r="E13" s="61"/>
      <c r="F13" s="61"/>
      <c r="G13" s="50"/>
      <c r="I13" s="44"/>
    </row>
    <row r="14" spans="1:10" ht="28.5" customHeight="1">
      <c r="A14" s="61"/>
      <c r="B14" s="61"/>
      <c r="C14" s="61"/>
      <c r="D14" s="61"/>
      <c r="E14" s="61"/>
      <c r="F14" s="61"/>
      <c r="G14" s="50"/>
      <c r="I14" s="44"/>
    </row>
    <row r="15" spans="1:10" ht="29.25" customHeight="1">
      <c r="A15" s="61"/>
      <c r="B15" s="61"/>
      <c r="C15" s="61"/>
      <c r="D15" s="61"/>
      <c r="E15" s="61"/>
      <c r="F15" s="61"/>
      <c r="G15" s="50"/>
      <c r="I15" s="44"/>
    </row>
    <row r="16" spans="1:10">
      <c r="A16" s="61"/>
      <c r="B16" s="61"/>
      <c r="C16" s="61"/>
      <c r="D16" s="61"/>
      <c r="E16" s="61"/>
      <c r="F16" s="61"/>
      <c r="G16" s="50"/>
    </row>
    <row r="17" spans="1:7">
      <c r="A17" s="61"/>
      <c r="B17" s="61"/>
      <c r="C17" s="61"/>
      <c r="D17" s="61"/>
      <c r="E17" s="61"/>
      <c r="F17" s="61"/>
      <c r="G17" s="50"/>
    </row>
    <row r="18" spans="1:7" ht="28.5" customHeight="1">
      <c r="A18" s="61"/>
      <c r="B18" s="61"/>
      <c r="C18" s="61"/>
      <c r="D18" s="61"/>
      <c r="E18" s="61"/>
      <c r="F18" s="61"/>
      <c r="G18" s="50"/>
    </row>
  </sheetData>
  <sheetProtection formatRows="0"/>
  <mergeCells count="8">
    <mergeCell ref="G12:H12"/>
    <mergeCell ref="A2:G2"/>
    <mergeCell ref="A6:F6"/>
    <mergeCell ref="A7:F7"/>
    <mergeCell ref="A8:F8"/>
    <mergeCell ref="A9:F9"/>
    <mergeCell ref="A10:F10"/>
    <mergeCell ref="A11:F11"/>
  </mergeCells>
  <phoneticPr fontId="0" type="noConversion"/>
  <hyperlinks>
    <hyperlink ref="G12" location="'Volume Calculator'!G25" display="Return to Calculator"/>
    <hyperlink ref="G12:H12" location="'Volume Calculator'!G27" display="Return to Calculator"/>
  </hyperlinks>
  <pageMargins left="0.75" right="0.75" top="1" bottom="1" header="0.5" footer="0.5"/>
  <pageSetup orientation="portrait" horizontalDpi="4294967292"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8" r:id="rId4" name="Option Button 8">
              <controlPr defaultSize="0" autoFill="0" autoLine="0" autoPict="0">
                <anchor moveWithCells="1">
                  <from>
                    <xdr:col>6</xdr:col>
                    <xdr:colOff>142875</xdr:colOff>
                    <xdr:row>6</xdr:row>
                    <xdr:rowOff>228600</xdr:rowOff>
                  </from>
                  <to>
                    <xdr:col>6</xdr:col>
                    <xdr:colOff>638175</xdr:colOff>
                    <xdr:row>6</xdr:row>
                    <xdr:rowOff>447675</xdr:rowOff>
                  </to>
                </anchor>
              </controlPr>
            </control>
          </mc:Choice>
        </mc:AlternateContent>
        <mc:AlternateContent xmlns:mc="http://schemas.openxmlformats.org/markup-compatibility/2006">
          <mc:Choice Requires="x14">
            <control shapeId="10249" r:id="rId5" name="Option Button 9">
              <controlPr locked="0" defaultSize="0" autoFill="0" autoLine="0" autoPict="0">
                <anchor moveWithCells="1">
                  <from>
                    <xdr:col>6</xdr:col>
                    <xdr:colOff>1171575</xdr:colOff>
                    <xdr:row>6</xdr:row>
                    <xdr:rowOff>228600</xdr:rowOff>
                  </from>
                  <to>
                    <xdr:col>6</xdr:col>
                    <xdr:colOff>1685925</xdr:colOff>
                    <xdr:row>6</xdr:row>
                    <xdr:rowOff>447675</xdr:rowOff>
                  </to>
                </anchor>
              </controlPr>
            </control>
          </mc:Choice>
        </mc:AlternateContent>
        <mc:AlternateContent xmlns:mc="http://schemas.openxmlformats.org/markup-compatibility/2006">
          <mc:Choice Requires="x14">
            <control shapeId="10250" r:id="rId6" name="Group Box 10">
              <controlPr defaultSize="0" print="0" autoFill="0" autoPict="0">
                <anchor moveWithCells="1">
                  <from>
                    <xdr:col>6</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251" r:id="rId7" name="Option Button 11">
              <controlPr defaultSize="0" autoFill="0" autoLine="0" autoPict="0">
                <anchor moveWithCells="1">
                  <from>
                    <xdr:col>6</xdr:col>
                    <xdr:colOff>152400</xdr:colOff>
                    <xdr:row>7</xdr:row>
                    <xdr:rowOff>161925</xdr:rowOff>
                  </from>
                  <to>
                    <xdr:col>6</xdr:col>
                    <xdr:colOff>771525</xdr:colOff>
                    <xdr:row>7</xdr:row>
                    <xdr:rowOff>523875</xdr:rowOff>
                  </to>
                </anchor>
              </controlPr>
            </control>
          </mc:Choice>
        </mc:AlternateContent>
        <mc:AlternateContent xmlns:mc="http://schemas.openxmlformats.org/markup-compatibility/2006">
          <mc:Choice Requires="x14">
            <control shapeId="10252" r:id="rId8" name="Option Button 12">
              <controlPr defaultSize="0" autoFill="0" autoLine="0" autoPict="0">
                <anchor moveWithCells="1">
                  <from>
                    <xdr:col>6</xdr:col>
                    <xdr:colOff>1209675</xdr:colOff>
                    <xdr:row>7</xdr:row>
                    <xdr:rowOff>180975</xdr:rowOff>
                  </from>
                  <to>
                    <xdr:col>6</xdr:col>
                    <xdr:colOff>1771650</xdr:colOff>
                    <xdr:row>7</xdr:row>
                    <xdr:rowOff>514350</xdr:rowOff>
                  </to>
                </anchor>
              </controlPr>
            </control>
          </mc:Choice>
        </mc:AlternateContent>
        <mc:AlternateContent xmlns:mc="http://schemas.openxmlformats.org/markup-compatibility/2006">
          <mc:Choice Requires="x14">
            <control shapeId="10254" r:id="rId9" name="Group Box 14">
              <controlPr defaultSize="0" print="0" autoFill="0" autoPict="0">
                <anchor moveWithCells="1">
                  <from>
                    <xdr:col>6</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255" r:id="rId10" name="Option Button 15">
              <controlPr defaultSize="0" autoFill="0" autoLine="0" autoPict="0">
                <anchor moveWithCells="1">
                  <from>
                    <xdr:col>6</xdr:col>
                    <xdr:colOff>209550</xdr:colOff>
                    <xdr:row>8</xdr:row>
                    <xdr:rowOff>238125</xdr:rowOff>
                  </from>
                  <to>
                    <xdr:col>6</xdr:col>
                    <xdr:colOff>771525</xdr:colOff>
                    <xdr:row>8</xdr:row>
                    <xdr:rowOff>514350</xdr:rowOff>
                  </to>
                </anchor>
              </controlPr>
            </control>
          </mc:Choice>
        </mc:AlternateContent>
        <mc:AlternateContent xmlns:mc="http://schemas.openxmlformats.org/markup-compatibility/2006">
          <mc:Choice Requires="x14">
            <control shapeId="10256" r:id="rId11" name="Option Button 16">
              <controlPr defaultSize="0" autoFill="0" autoLine="0" autoPict="0">
                <anchor moveWithCells="1">
                  <from>
                    <xdr:col>6</xdr:col>
                    <xdr:colOff>1228725</xdr:colOff>
                    <xdr:row>8</xdr:row>
                    <xdr:rowOff>228600</xdr:rowOff>
                  </from>
                  <to>
                    <xdr:col>6</xdr:col>
                    <xdr:colOff>1771650</xdr:colOff>
                    <xdr:row>8</xdr:row>
                    <xdr:rowOff>533400</xdr:rowOff>
                  </to>
                </anchor>
              </controlPr>
            </control>
          </mc:Choice>
        </mc:AlternateContent>
        <mc:AlternateContent xmlns:mc="http://schemas.openxmlformats.org/markup-compatibility/2006">
          <mc:Choice Requires="x14">
            <control shapeId="10257" r:id="rId12" name="Group Box 17">
              <controlPr defaultSize="0" autoFill="0" autoPict="0">
                <anchor moveWithCells="1">
                  <from>
                    <xdr:col>6</xdr:col>
                    <xdr:colOff>0</xdr:colOff>
                    <xdr:row>8</xdr:row>
                    <xdr:rowOff>0</xdr:rowOff>
                  </from>
                  <to>
                    <xdr:col>7</xdr:col>
                    <xdr:colOff>0</xdr:colOff>
                    <xdr:row>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5"/>
  </sheetPr>
  <dimension ref="A1:J22"/>
  <sheetViews>
    <sheetView topLeftCell="A4" zoomScaleNormal="81" workbookViewId="0">
      <selection activeCell="A15" sqref="A15:F15"/>
    </sheetView>
  </sheetViews>
  <sheetFormatPr defaultRowHeight="15"/>
  <cols>
    <col min="1" max="1" width="26.42578125" style="6" customWidth="1"/>
    <col min="2" max="2" width="6.140625" style="6" customWidth="1"/>
    <col min="3" max="3" width="8.28515625" style="6" customWidth="1"/>
    <col min="4" max="4" width="11" style="6" customWidth="1"/>
    <col min="5" max="5" width="10.28515625" style="6" customWidth="1"/>
    <col min="6" max="6" width="39.7109375" style="6" customWidth="1"/>
    <col min="7" max="7" width="28.28515625" style="6" customWidth="1"/>
    <col min="8" max="8" width="10.28515625" style="86" hidden="1" customWidth="1"/>
    <col min="9" max="9" width="3.140625" style="86" hidden="1" customWidth="1"/>
    <col min="10" max="10" width="9.140625" style="6"/>
    <col min="11" max="16384" width="9.140625" style="1"/>
  </cols>
  <sheetData>
    <row r="1" spans="1:10" ht="15.75">
      <c r="A1" s="13" t="s">
        <v>93</v>
      </c>
    </row>
    <row r="2" spans="1:10" ht="57.75" customHeight="1">
      <c r="A2" s="508" t="s">
        <v>518</v>
      </c>
      <c r="B2" s="508"/>
      <c r="C2" s="508"/>
      <c r="D2" s="508"/>
      <c r="E2" s="508"/>
      <c r="F2" s="508"/>
      <c r="G2" s="508"/>
    </row>
    <row r="3" spans="1:10">
      <c r="A3" s="15"/>
    </row>
    <row r="6" spans="1:10" ht="21" customHeight="1">
      <c r="A6" s="509" t="s">
        <v>45</v>
      </c>
      <c r="B6" s="510"/>
      <c r="C6" s="510"/>
      <c r="D6" s="510"/>
      <c r="E6" s="510"/>
      <c r="F6" s="510"/>
      <c r="G6" s="8" t="s">
        <v>49</v>
      </c>
    </row>
    <row r="7" spans="1:10" ht="65.25" customHeight="1">
      <c r="A7" s="511" t="s">
        <v>520</v>
      </c>
      <c r="B7" s="511"/>
      <c r="C7" s="511"/>
      <c r="D7" s="511"/>
      <c r="E7" s="511"/>
      <c r="F7" s="511"/>
      <c r="G7" s="29"/>
      <c r="H7" s="44"/>
      <c r="I7" s="266">
        <v>2</v>
      </c>
    </row>
    <row r="8" spans="1:10" ht="39" customHeight="1">
      <c r="A8" s="511" t="s">
        <v>521</v>
      </c>
      <c r="B8" s="511"/>
      <c r="C8" s="511"/>
      <c r="D8" s="511"/>
      <c r="E8" s="511"/>
      <c r="F8" s="511"/>
      <c r="G8" s="29"/>
      <c r="H8" s="44"/>
      <c r="I8" s="266">
        <v>2</v>
      </c>
    </row>
    <row r="9" spans="1:10" ht="39" customHeight="1">
      <c r="A9" s="511" t="s">
        <v>522</v>
      </c>
      <c r="B9" s="511"/>
      <c r="C9" s="511"/>
      <c r="D9" s="511"/>
      <c r="E9" s="511"/>
      <c r="F9" s="511"/>
      <c r="G9" s="29"/>
      <c r="H9" s="44"/>
      <c r="I9" s="266">
        <v>2</v>
      </c>
    </row>
    <row r="10" spans="1:10" ht="39" customHeight="1">
      <c r="A10" s="512" t="s">
        <v>523</v>
      </c>
      <c r="B10" s="506"/>
      <c r="C10" s="506"/>
      <c r="D10" s="506"/>
      <c r="E10" s="506"/>
      <c r="F10" s="507"/>
      <c r="G10" s="29"/>
      <c r="H10" s="44"/>
      <c r="I10" s="266">
        <v>2</v>
      </c>
    </row>
    <row r="11" spans="1:10" ht="39" customHeight="1">
      <c r="A11" s="512" t="str">
        <f>"Percentage of existing "&amp;SUM('Volume Calculator'!K17:K18)&amp;" Acre(s) impervious surface area draining into a stream buffer"</f>
        <v>Percentage of existing 0 Acre(s) impervious surface area draining into a stream buffer</v>
      </c>
      <c r="B11" s="506"/>
      <c r="C11" s="506"/>
      <c r="D11" s="506"/>
      <c r="E11" s="506"/>
      <c r="F11" s="507"/>
      <c r="G11" s="245"/>
      <c r="H11" s="44">
        <f>(G11/100)*SUM('Volume Calculator'!K17:K178)</f>
        <v>0</v>
      </c>
      <c r="I11" s="266">
        <f>SUM(I7:I10)</f>
        <v>8</v>
      </c>
      <c r="J11" s="6" t="str">
        <f>IF(G11&gt;0,"%","")</f>
        <v/>
      </c>
    </row>
    <row r="12" spans="1:10" ht="39" customHeight="1">
      <c r="A12" s="512" t="str">
        <f>"Percentage of the proposed "&amp;SUM('Volume Calculator'!K19:K20)&amp;" Acre(s) impervious surface area that will drain into a stream buffer"</f>
        <v>Percentage of the proposed 0 Acre(s) impervious surface area that will drain into a stream buffer</v>
      </c>
      <c r="B12" s="474"/>
      <c r="C12" s="474"/>
      <c r="D12" s="474"/>
      <c r="E12" s="474"/>
      <c r="F12" s="475"/>
      <c r="G12" s="245"/>
      <c r="H12" s="44">
        <f>(G12/100)*SUM('Volume Calculator'!K19:K20)</f>
        <v>0</v>
      </c>
      <c r="I12" s="44"/>
      <c r="J12" s="42" t="str">
        <f>IF(G12&gt;0,"%","")</f>
        <v/>
      </c>
    </row>
    <row r="13" spans="1:10" ht="45.75" customHeight="1">
      <c r="A13" s="511" t="s">
        <v>524</v>
      </c>
      <c r="B13" s="511"/>
      <c r="C13" s="511"/>
      <c r="D13" s="511"/>
      <c r="E13" s="511"/>
      <c r="F13" s="511"/>
      <c r="G13" s="83"/>
      <c r="H13" s="44"/>
      <c r="I13" s="44"/>
    </row>
    <row r="14" spans="1:10" ht="66.75" customHeight="1">
      <c r="A14" s="513"/>
      <c r="B14" s="513"/>
      <c r="C14" s="513"/>
      <c r="D14" s="513"/>
      <c r="E14" s="513"/>
      <c r="F14" s="513"/>
      <c r="G14" s="513"/>
    </row>
    <row r="15" spans="1:10" ht="28.5" customHeight="1">
      <c r="A15" s="514"/>
      <c r="B15" s="514"/>
      <c r="C15" s="514"/>
      <c r="D15" s="514"/>
      <c r="E15" s="514"/>
      <c r="F15" s="514"/>
      <c r="G15" s="136" t="s">
        <v>53</v>
      </c>
    </row>
    <row r="16" spans="1:10" ht="29.25" customHeight="1">
      <c r="A16" s="514" t="s">
        <v>506</v>
      </c>
      <c r="B16" s="514"/>
      <c r="C16" s="514"/>
      <c r="D16" s="514"/>
      <c r="E16" s="514"/>
      <c r="F16" s="514"/>
      <c r="G16" s="16"/>
    </row>
    <row r="17" spans="1:7">
      <c r="A17" s="514" t="s">
        <v>519</v>
      </c>
      <c r="B17" s="514"/>
      <c r="C17" s="514"/>
      <c r="D17" s="514"/>
      <c r="E17" s="514"/>
      <c r="F17" s="514"/>
      <c r="G17" s="16"/>
    </row>
    <row r="18" spans="1:7">
      <c r="A18" s="514"/>
      <c r="B18" s="514"/>
      <c r="C18" s="514"/>
      <c r="D18" s="514"/>
      <c r="E18" s="514"/>
      <c r="F18" s="514"/>
      <c r="G18" s="16"/>
    </row>
    <row r="19" spans="1:7" ht="28.5" customHeight="1">
      <c r="A19" s="514"/>
      <c r="B19" s="514"/>
      <c r="C19" s="514"/>
      <c r="D19" s="514"/>
      <c r="E19" s="514"/>
      <c r="F19" s="514"/>
      <c r="G19" s="16"/>
    </row>
    <row r="20" spans="1:7">
      <c r="A20" s="514"/>
      <c r="B20" s="514"/>
      <c r="C20" s="514"/>
      <c r="D20" s="514"/>
      <c r="E20" s="514"/>
      <c r="F20" s="514"/>
      <c r="G20" s="16"/>
    </row>
    <row r="21" spans="1:7">
      <c r="A21" s="514"/>
      <c r="B21" s="514"/>
      <c r="C21" s="514"/>
      <c r="D21" s="514"/>
      <c r="E21" s="514"/>
      <c r="F21" s="514"/>
      <c r="G21" s="16"/>
    </row>
    <row r="22" spans="1:7">
      <c r="G22" s="16"/>
    </row>
  </sheetData>
  <sheetProtection formatRows="0"/>
  <mergeCells count="17">
    <mergeCell ref="A21:F21"/>
    <mergeCell ref="A15:F15"/>
    <mergeCell ref="A16:F16"/>
    <mergeCell ref="A17:F17"/>
    <mergeCell ref="A18:F18"/>
    <mergeCell ref="A19:F19"/>
    <mergeCell ref="A20:F20"/>
    <mergeCell ref="A12:F12"/>
    <mergeCell ref="A14:G14"/>
    <mergeCell ref="A10:F10"/>
    <mergeCell ref="A13:F13"/>
    <mergeCell ref="A9:F9"/>
    <mergeCell ref="A2:G2"/>
    <mergeCell ref="A6:F6"/>
    <mergeCell ref="A7:F7"/>
    <mergeCell ref="A8:F8"/>
    <mergeCell ref="A11:F11"/>
  </mergeCells>
  <phoneticPr fontId="0" type="noConversion"/>
  <hyperlinks>
    <hyperlink ref="G15" location="'Volume Calculator'!G28" display="Return to Calculator"/>
  </hyperlinks>
  <pageMargins left="0.75" right="0.75" top="1" bottom="1" header="0.5" footer="0.5"/>
  <pageSetup paperSize="0" orientation="portrait" horizontalDpi="4294967292" verticalDpi="4294967292"/>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6145" r:id="rId3" name="Option Button 1">
              <controlPr defaultSize="0" autoFill="0" autoLine="0" autoPict="0">
                <anchor moveWithCells="1">
                  <from>
                    <xdr:col>6</xdr:col>
                    <xdr:colOff>180975</xdr:colOff>
                    <xdr:row>6</xdr:row>
                    <xdr:rowOff>219075</xdr:rowOff>
                  </from>
                  <to>
                    <xdr:col>6</xdr:col>
                    <xdr:colOff>838200</xdr:colOff>
                    <xdr:row>6</xdr:row>
                    <xdr:rowOff>647700</xdr:rowOff>
                  </to>
                </anchor>
              </controlPr>
            </control>
          </mc:Choice>
        </mc:AlternateContent>
        <mc:AlternateContent xmlns:mc="http://schemas.openxmlformats.org/markup-compatibility/2006">
          <mc:Choice Requires="x14">
            <control shapeId="6146" r:id="rId4" name="Option Button 2">
              <controlPr defaultSize="0" autoFill="0" autoLine="0" autoPict="0">
                <anchor moveWithCells="1">
                  <from>
                    <xdr:col>6</xdr:col>
                    <xdr:colOff>1000125</xdr:colOff>
                    <xdr:row>6</xdr:row>
                    <xdr:rowOff>219075</xdr:rowOff>
                  </from>
                  <to>
                    <xdr:col>6</xdr:col>
                    <xdr:colOff>1733550</xdr:colOff>
                    <xdr:row>6</xdr:row>
                    <xdr:rowOff>647700</xdr:rowOff>
                  </to>
                </anchor>
              </controlPr>
            </control>
          </mc:Choice>
        </mc:AlternateContent>
        <mc:AlternateContent xmlns:mc="http://schemas.openxmlformats.org/markup-compatibility/2006">
          <mc:Choice Requires="x14">
            <control shapeId="6147" r:id="rId5" name="Option Button 3">
              <controlPr defaultSize="0" autoFill="0" autoLine="0" autoPict="0">
                <anchor moveWithCells="1">
                  <from>
                    <xdr:col>6</xdr:col>
                    <xdr:colOff>180975</xdr:colOff>
                    <xdr:row>7</xdr:row>
                    <xdr:rowOff>9525</xdr:rowOff>
                  </from>
                  <to>
                    <xdr:col>6</xdr:col>
                    <xdr:colOff>838200</xdr:colOff>
                    <xdr:row>7</xdr:row>
                    <xdr:rowOff>438150</xdr:rowOff>
                  </to>
                </anchor>
              </controlPr>
            </control>
          </mc:Choice>
        </mc:AlternateContent>
        <mc:AlternateContent xmlns:mc="http://schemas.openxmlformats.org/markup-compatibility/2006">
          <mc:Choice Requires="x14">
            <control shapeId="6149" r:id="rId6" name="Option Button 5">
              <controlPr defaultSize="0" autoFill="0" autoLine="0" autoPict="0">
                <anchor moveWithCells="1">
                  <from>
                    <xdr:col>6</xdr:col>
                    <xdr:colOff>1000125</xdr:colOff>
                    <xdr:row>7</xdr:row>
                    <xdr:rowOff>0</xdr:rowOff>
                  </from>
                  <to>
                    <xdr:col>6</xdr:col>
                    <xdr:colOff>1733550</xdr:colOff>
                    <xdr:row>7</xdr:row>
                    <xdr:rowOff>428625</xdr:rowOff>
                  </to>
                </anchor>
              </controlPr>
            </control>
          </mc:Choice>
        </mc:AlternateContent>
        <mc:AlternateContent xmlns:mc="http://schemas.openxmlformats.org/markup-compatibility/2006">
          <mc:Choice Requires="x14">
            <control shapeId="6151" r:id="rId7" name="Group Box 7">
              <controlPr locked="0" defaultSize="0" autoFill="0" autoPict="0">
                <anchor moveWithCells="1">
                  <from>
                    <xdr:col>6</xdr:col>
                    <xdr:colOff>0</xdr:colOff>
                    <xdr:row>5</xdr:row>
                    <xdr:rowOff>257175</xdr:rowOff>
                  </from>
                  <to>
                    <xdr:col>7</xdr:col>
                    <xdr:colOff>0</xdr:colOff>
                    <xdr:row>7</xdr:row>
                    <xdr:rowOff>0</xdr:rowOff>
                  </to>
                </anchor>
              </controlPr>
            </control>
          </mc:Choice>
        </mc:AlternateContent>
        <mc:AlternateContent xmlns:mc="http://schemas.openxmlformats.org/markup-compatibility/2006">
          <mc:Choice Requires="x14">
            <control shapeId="6154" r:id="rId8" name="Option Button 10">
              <controlPr locked="0" defaultSize="0" autoFill="0" autoLine="0" autoPict="0">
                <anchor moveWithCells="1">
                  <from>
                    <xdr:col>6</xdr:col>
                    <xdr:colOff>161925</xdr:colOff>
                    <xdr:row>8</xdr:row>
                    <xdr:rowOff>104775</xdr:rowOff>
                  </from>
                  <to>
                    <xdr:col>6</xdr:col>
                    <xdr:colOff>762000</xdr:colOff>
                    <xdr:row>8</xdr:row>
                    <xdr:rowOff>381000</xdr:rowOff>
                  </to>
                </anchor>
              </controlPr>
            </control>
          </mc:Choice>
        </mc:AlternateContent>
        <mc:AlternateContent xmlns:mc="http://schemas.openxmlformats.org/markup-compatibility/2006">
          <mc:Choice Requires="x14">
            <control shapeId="6155" r:id="rId9" name="Group Box 11">
              <controlPr defaultSize="0" print="0" autoFill="0" autoPict="0">
                <anchor moveWithCells="1">
                  <from>
                    <xdr:col>6</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6156" r:id="rId10" name="Group Box 12">
              <controlPr defaultSize="0" print="0" autoFill="0" autoPict="0">
                <anchor moveWithCells="1">
                  <from>
                    <xdr:col>6</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6157" r:id="rId11" name="Option Button 13">
              <controlPr defaultSize="0" autoFill="0" autoLine="0" autoPict="0">
                <anchor moveWithCells="1">
                  <from>
                    <xdr:col>6</xdr:col>
                    <xdr:colOff>1009650</xdr:colOff>
                    <xdr:row>8</xdr:row>
                    <xdr:rowOff>85725</xdr:rowOff>
                  </from>
                  <to>
                    <xdr:col>6</xdr:col>
                    <xdr:colOff>1590675</xdr:colOff>
                    <xdr:row>8</xdr:row>
                    <xdr:rowOff>428625</xdr:rowOff>
                  </to>
                </anchor>
              </controlPr>
            </control>
          </mc:Choice>
        </mc:AlternateContent>
        <mc:AlternateContent xmlns:mc="http://schemas.openxmlformats.org/markup-compatibility/2006">
          <mc:Choice Requires="x14">
            <control shapeId="6158" r:id="rId12" name="Option Button 14">
              <controlPr defaultSize="0" autoFill="0" autoLine="0" autoPict="0">
                <anchor moveWithCells="1">
                  <from>
                    <xdr:col>6</xdr:col>
                    <xdr:colOff>180975</xdr:colOff>
                    <xdr:row>9</xdr:row>
                    <xdr:rowOff>28575</xdr:rowOff>
                  </from>
                  <to>
                    <xdr:col>6</xdr:col>
                    <xdr:colOff>752475</xdr:colOff>
                    <xdr:row>10</xdr:row>
                    <xdr:rowOff>9525</xdr:rowOff>
                  </to>
                </anchor>
              </controlPr>
            </control>
          </mc:Choice>
        </mc:AlternateContent>
        <mc:AlternateContent xmlns:mc="http://schemas.openxmlformats.org/markup-compatibility/2006">
          <mc:Choice Requires="x14">
            <control shapeId="6159" r:id="rId13" name="Option Button 15">
              <controlPr defaultSize="0" autoFill="0" autoLine="0" autoPict="0">
                <anchor moveWithCells="1">
                  <from>
                    <xdr:col>6</xdr:col>
                    <xdr:colOff>1009650</xdr:colOff>
                    <xdr:row>9</xdr:row>
                    <xdr:rowOff>47625</xdr:rowOff>
                  </from>
                  <to>
                    <xdr:col>6</xdr:col>
                    <xdr:colOff>1809750</xdr:colOff>
                    <xdr:row>9</xdr:row>
                    <xdr:rowOff>466725</xdr:rowOff>
                  </to>
                </anchor>
              </controlPr>
            </control>
          </mc:Choice>
        </mc:AlternateContent>
        <mc:AlternateContent xmlns:mc="http://schemas.openxmlformats.org/markup-compatibility/2006">
          <mc:Choice Requires="x14">
            <control shapeId="6163" r:id="rId14" name="Group Box 19">
              <controlPr defaultSize="0" autoFill="0" autoPict="0">
                <anchor moveWithCells="1">
                  <from>
                    <xdr:col>6</xdr:col>
                    <xdr:colOff>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6164" r:id="rId15" name="Group Box 20">
              <controlPr defaultSize="0" autoFill="0" autoPict="0">
                <anchor moveWithCells="1">
                  <from>
                    <xdr:col>6</xdr:col>
                    <xdr:colOff>0</xdr:colOff>
                    <xdr:row>9</xdr:row>
                    <xdr:rowOff>0</xdr:rowOff>
                  </from>
                  <to>
                    <xdr:col>7</xdr:col>
                    <xdr:colOff>0</xdr:colOff>
                    <xdr:row>10</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5"/>
  </sheetPr>
  <dimension ref="A1:L12"/>
  <sheetViews>
    <sheetView workbookViewId="0">
      <selection activeCell="G12" sqref="G12"/>
    </sheetView>
  </sheetViews>
  <sheetFormatPr defaultRowHeight="15"/>
  <cols>
    <col min="1" max="1" width="28.7109375" style="10" customWidth="1"/>
    <col min="2" max="5" width="9.140625" style="10"/>
    <col min="6" max="6" width="30.7109375" style="10" customWidth="1"/>
    <col min="7" max="8" width="9.140625" style="20"/>
    <col min="9" max="9" width="9.7109375" style="87" hidden="1" customWidth="1"/>
    <col min="10" max="10" width="8.28515625" style="87" hidden="1" customWidth="1"/>
    <col min="11" max="12" width="9.140625" style="20"/>
    <col min="13" max="16384" width="9.140625" style="10"/>
  </cols>
  <sheetData>
    <row r="1" spans="1:11" ht="15.75">
      <c r="A1" s="9" t="s">
        <v>122</v>
      </c>
      <c r="F1" s="4"/>
    </row>
    <row r="2" spans="1:11" ht="47.25" customHeight="1">
      <c r="A2" s="482" t="s">
        <v>525</v>
      </c>
      <c r="B2" s="482"/>
      <c r="C2" s="482"/>
      <c r="D2" s="482"/>
      <c r="E2" s="482"/>
      <c r="F2" s="482"/>
    </row>
    <row r="3" spans="1:11">
      <c r="A3" s="11"/>
    </row>
    <row r="6" spans="1:11" ht="31.5" customHeight="1">
      <c r="A6" s="517" t="s">
        <v>32</v>
      </c>
      <c r="B6" s="517"/>
      <c r="C6" s="517"/>
      <c r="D6" s="517"/>
      <c r="E6" s="517"/>
      <c r="F6" s="517"/>
      <c r="G6" s="21"/>
    </row>
    <row r="7" spans="1:11" ht="44.1" customHeight="1">
      <c r="A7" s="518" t="s">
        <v>526</v>
      </c>
      <c r="B7" s="518"/>
      <c r="C7" s="518"/>
      <c r="D7" s="518"/>
      <c r="E7" s="518"/>
      <c r="F7" s="518"/>
      <c r="I7" s="316"/>
      <c r="J7" s="316">
        <v>2</v>
      </c>
    </row>
    <row r="8" spans="1:11" ht="44.1" customHeight="1">
      <c r="A8" s="518" t="s">
        <v>527</v>
      </c>
      <c r="B8" s="518"/>
      <c r="C8" s="518"/>
      <c r="D8" s="518"/>
      <c r="E8" s="518"/>
      <c r="F8" s="518"/>
      <c r="I8" s="316"/>
      <c r="J8" s="316">
        <v>2</v>
      </c>
    </row>
    <row r="9" spans="1:11" ht="44.1" customHeight="1">
      <c r="A9" s="5"/>
      <c r="B9" s="5"/>
      <c r="C9" s="5"/>
      <c r="D9" s="5"/>
      <c r="E9" s="5"/>
      <c r="F9" s="5"/>
      <c r="I9" s="287"/>
      <c r="J9" s="287">
        <f>SUM(J7:J8)</f>
        <v>4</v>
      </c>
    </row>
    <row r="10" spans="1:11" ht="39.75" customHeight="1">
      <c r="A10" s="519" t="str">
        <f>"Percentage of existing "&amp;SUM('Volume Calculator'!K17:K18)&amp;" Acre(s) of impervious area draining to a vegetated swale"</f>
        <v>Percentage of existing 0 Acre(s) of impervious area draining to a vegetated swale</v>
      </c>
      <c r="B10" s="474"/>
      <c r="C10" s="474"/>
      <c r="D10" s="474"/>
      <c r="E10" s="474"/>
      <c r="F10" s="475"/>
      <c r="G10" s="515"/>
      <c r="H10" s="516"/>
      <c r="I10" s="44">
        <f>SUM('Volume Calculator'!K17:K18)/100*G10</f>
        <v>0</v>
      </c>
      <c r="J10" s="80"/>
      <c r="K10" s="28" t="str">
        <f>IF(G10&gt;0,"%","")</f>
        <v/>
      </c>
    </row>
    <row r="11" spans="1:11" ht="39.75" customHeight="1">
      <c r="A11" s="519" t="str">
        <f>"Percentage of the proposed "&amp;SUM('Volume Calculator'!K19:K20)&amp;" Acre(s) of impervious area draining to a vegetated swale"</f>
        <v>Percentage of the proposed 0 Acre(s) of impervious area draining to a vegetated swale</v>
      </c>
      <c r="B11" s="474"/>
      <c r="C11" s="474"/>
      <c r="D11" s="474"/>
      <c r="E11" s="474"/>
      <c r="F11" s="475"/>
      <c r="G11" s="515"/>
      <c r="H11" s="516"/>
      <c r="I11" s="44">
        <f>SUM('Volume Calculator'!K19:K20)/100*G11</f>
        <v>0</v>
      </c>
      <c r="J11" s="80"/>
      <c r="K11" s="28" t="str">
        <f>IF(G11&gt;0,"%","")</f>
        <v/>
      </c>
    </row>
    <row r="12" spans="1:11">
      <c r="F12" s="136" t="s">
        <v>53</v>
      </c>
    </row>
  </sheetData>
  <sheetProtection formatRows="0"/>
  <mergeCells count="8">
    <mergeCell ref="A2:F2"/>
    <mergeCell ref="G10:H10"/>
    <mergeCell ref="G11:H11"/>
    <mergeCell ref="A6:F6"/>
    <mergeCell ref="A7:F7"/>
    <mergeCell ref="A8:F8"/>
    <mergeCell ref="A10:F10"/>
    <mergeCell ref="A11:F11"/>
  </mergeCells>
  <phoneticPr fontId="0" type="noConversion"/>
  <hyperlinks>
    <hyperlink ref="F12" location="'Volume Calculator'!G29" display="Return to Calculator"/>
  </hyperlinks>
  <pageMargins left="0.75" right="0.75" top="1" bottom="1" header="0.5" footer="0.5"/>
  <pageSetup orientation="portrait"/>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7187" r:id="rId3" name="Option Button 19">
              <controlPr defaultSize="0" autoFill="0" autoLine="0" autoPict="0">
                <anchor moveWithCells="1">
                  <from>
                    <xdr:col>6</xdr:col>
                    <xdr:colOff>0</xdr:colOff>
                    <xdr:row>6</xdr:row>
                    <xdr:rowOff>38100</xdr:rowOff>
                  </from>
                  <to>
                    <xdr:col>7</xdr:col>
                    <xdr:colOff>9525</xdr:colOff>
                    <xdr:row>6</xdr:row>
                    <xdr:rowOff>495300</xdr:rowOff>
                  </to>
                </anchor>
              </controlPr>
            </control>
          </mc:Choice>
        </mc:AlternateContent>
        <mc:AlternateContent xmlns:mc="http://schemas.openxmlformats.org/markup-compatibility/2006">
          <mc:Choice Requires="x14">
            <control shapeId="7188" r:id="rId4" name="Option Button 20">
              <controlPr defaultSize="0" autoFill="0" autoLine="0" autoPict="0">
                <anchor moveWithCells="1">
                  <from>
                    <xdr:col>7</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7191" r:id="rId5" name="Group Box 23">
              <controlPr defaultSize="0" autoFill="0" autoPict="0">
                <anchor moveWithCells="1">
                  <from>
                    <xdr:col>6</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7193" r:id="rId6" name="Option Button 25">
              <controlPr defaultSize="0" autoFill="0" autoLine="0" autoPict="0">
                <anchor moveWithCells="1">
                  <from>
                    <xdr:col>6</xdr:col>
                    <xdr:colOff>0</xdr:colOff>
                    <xdr:row>7</xdr:row>
                    <xdr:rowOff>0</xdr:rowOff>
                  </from>
                  <to>
                    <xdr:col>6</xdr:col>
                    <xdr:colOff>600075</xdr:colOff>
                    <xdr:row>7</xdr:row>
                    <xdr:rowOff>495300</xdr:rowOff>
                  </to>
                </anchor>
              </controlPr>
            </control>
          </mc:Choice>
        </mc:AlternateContent>
        <mc:AlternateContent xmlns:mc="http://schemas.openxmlformats.org/markup-compatibility/2006">
          <mc:Choice Requires="x14">
            <control shapeId="7194" r:id="rId7" name="Option Button 26">
              <controlPr defaultSize="0" autoFill="0" autoLine="0" autoPict="0">
                <anchor moveWithCells="1">
                  <from>
                    <xdr:col>7</xdr:col>
                    <xdr:colOff>0</xdr:colOff>
                    <xdr:row>7</xdr:row>
                    <xdr:rowOff>0</xdr:rowOff>
                  </from>
                  <to>
                    <xdr:col>8</xdr:col>
                    <xdr:colOff>0</xdr:colOff>
                    <xdr:row>7</xdr:row>
                    <xdr:rowOff>504825</xdr:rowOff>
                  </to>
                </anchor>
              </controlPr>
            </control>
          </mc:Choice>
        </mc:AlternateContent>
        <mc:AlternateContent xmlns:mc="http://schemas.openxmlformats.org/markup-compatibility/2006">
          <mc:Choice Requires="x14">
            <control shapeId="7195" r:id="rId8" name="Group Box 27">
              <controlPr defaultSize="0" autoFill="0" autoPict="0">
                <anchor moveWithCells="1">
                  <from>
                    <xdr:col>6</xdr:col>
                    <xdr:colOff>0</xdr:colOff>
                    <xdr:row>7</xdr:row>
                    <xdr:rowOff>0</xdr:rowOff>
                  </from>
                  <to>
                    <xdr:col>8</xdr:col>
                    <xdr:colOff>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79</vt:i4>
      </vt:variant>
    </vt:vector>
  </HeadingPairs>
  <TitlesOfParts>
    <vt:vector size="92" baseType="lpstr">
      <vt:lpstr>Introduction</vt:lpstr>
      <vt:lpstr>Volume Calculator</vt:lpstr>
      <vt:lpstr>Porous Pavement</vt:lpstr>
      <vt:lpstr>Tree Planting</vt:lpstr>
      <vt:lpstr>Downspout Disconnection</vt:lpstr>
      <vt:lpstr>Impervious Area Disconnection</vt:lpstr>
      <vt:lpstr>GreenRoofs</vt:lpstr>
      <vt:lpstr>Stream Buffer</vt:lpstr>
      <vt:lpstr>Vegetated Swale</vt:lpstr>
      <vt:lpstr>Rain Barrels &amp; Cisterns</vt:lpstr>
      <vt:lpstr>Soil Quality</vt:lpstr>
      <vt:lpstr>No Edit</vt:lpstr>
      <vt:lpstr>Sheet1</vt:lpstr>
      <vt:lpstr>ALAMEDA</vt:lpstr>
      <vt:lpstr>ALPINE</vt:lpstr>
      <vt:lpstr>AMADOR</vt:lpstr>
      <vt:lpstr>BUTTE</vt:lpstr>
      <vt:lpstr>CALAVERAS</vt:lpstr>
      <vt:lpstr>COLUSA</vt:lpstr>
      <vt:lpstr>CONTRA_COSTA</vt:lpstr>
      <vt:lpstr>Counties</vt:lpstr>
      <vt:lpstr>COUNTY</vt:lpstr>
      <vt:lpstr>COUNTYCOL</vt:lpstr>
      <vt:lpstr>CountyColumn</vt:lpstr>
      <vt:lpstr>CountyRainList</vt:lpstr>
      <vt:lpstr>DEL_NORTE</vt:lpstr>
      <vt:lpstr>EL_DIRADI</vt:lpstr>
      <vt:lpstr>FRESNO</vt:lpstr>
      <vt:lpstr>GLENN</vt:lpstr>
      <vt:lpstr>HUMBOLDT</vt:lpstr>
      <vt:lpstr>IMPERIAL</vt:lpstr>
      <vt:lpstr>INYO</vt:lpstr>
      <vt:lpstr>KERN</vt:lpstr>
      <vt:lpstr>KINGS</vt:lpstr>
      <vt:lpstr>LAKE</vt:lpstr>
      <vt:lpstr>LAND</vt:lpstr>
      <vt:lpstr>Land_list</vt:lpstr>
      <vt:lpstr>LandU</vt:lpstr>
      <vt:lpstr>LandU2</vt:lpstr>
      <vt:lpstr>LandU2a</vt:lpstr>
      <vt:lpstr>LandU3</vt:lpstr>
      <vt:lpstr>LASSEN</vt:lpstr>
      <vt:lpstr>LOCATIONCOL</vt:lpstr>
      <vt:lpstr>Locations</vt:lpstr>
      <vt:lpstr>LOS_ANGELES</vt:lpstr>
      <vt:lpstr>MADERA</vt:lpstr>
      <vt:lpstr>MARIN</vt:lpstr>
      <vt:lpstr>MARIPOSA</vt:lpstr>
      <vt:lpstr>MENDOCINO</vt:lpstr>
      <vt:lpstr>MERCED</vt:lpstr>
      <vt:lpstr>MODOC</vt:lpstr>
      <vt:lpstr>MONO</vt:lpstr>
      <vt:lpstr>MONTEREY</vt:lpstr>
      <vt:lpstr>NAPA</vt:lpstr>
      <vt:lpstr>NEVADA</vt:lpstr>
      <vt:lpstr>ORANGE</vt:lpstr>
      <vt:lpstr>PLACER</vt:lpstr>
      <vt:lpstr>PLUMAS</vt:lpstr>
      <vt:lpstr>Rain</vt:lpstr>
      <vt:lpstr>Rain85</vt:lpstr>
      <vt:lpstr>RainValues</vt:lpstr>
      <vt:lpstr>RegionList</vt:lpstr>
      <vt:lpstr>RIVERSIDE</vt:lpstr>
      <vt:lpstr>SACRAMENTO</vt:lpstr>
      <vt:lpstr>SAN_BENITO</vt:lpstr>
      <vt:lpstr>SAN_BERNARDINO</vt:lpstr>
      <vt:lpstr>SAN_DIEGO</vt:lpstr>
      <vt:lpstr>SAN_FRANCISCO</vt:lpstr>
      <vt:lpstr>SAN_JOAQUIN</vt:lpstr>
      <vt:lpstr>SAN_LUIS_OBISPO</vt:lpstr>
      <vt:lpstr>SAN_MATEO</vt:lpstr>
      <vt:lpstr>SANTA_BARBARA</vt:lpstr>
      <vt:lpstr>SANTA_CLARA</vt:lpstr>
      <vt:lpstr>SANTA_CRUZ</vt:lpstr>
      <vt:lpstr>SHASTA</vt:lpstr>
      <vt:lpstr>SIERRA</vt:lpstr>
      <vt:lpstr>SISKIYOU</vt:lpstr>
      <vt:lpstr>Soil_Type</vt:lpstr>
      <vt:lpstr>Soil2</vt:lpstr>
      <vt:lpstr>Soil3</vt:lpstr>
      <vt:lpstr>Soils</vt:lpstr>
      <vt:lpstr>SOLANO</vt:lpstr>
      <vt:lpstr>SONOMA</vt:lpstr>
      <vt:lpstr>STANISLAUS</vt:lpstr>
      <vt:lpstr>SUTTER</vt:lpstr>
      <vt:lpstr>TEHAMA</vt:lpstr>
      <vt:lpstr>TRINTY</vt:lpstr>
      <vt:lpstr>TULARE</vt:lpstr>
      <vt:lpstr>TUOLUMNE</vt:lpstr>
      <vt:lpstr>VENTURA</vt:lpstr>
      <vt:lpstr>YOLO</vt:lpstr>
      <vt:lpstr>YUBA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Runoff Volume Calculator</dc:title>
  <dc:creator>SWRCB/CWLU</dc:creator>
  <cp:lastModifiedBy>Dhyan Gilton</cp:lastModifiedBy>
  <cp:lastPrinted>2010-12-15T21:58:51Z</cp:lastPrinted>
  <dcterms:created xsi:type="dcterms:W3CDTF">2007-01-18T00:11:44Z</dcterms:created>
  <dcterms:modified xsi:type="dcterms:W3CDTF">2017-02-16T15:52:51Z</dcterms:modified>
</cp:coreProperties>
</file>